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آمارنامه های دم دستی\آمار زراعی و باغی و دامی\دامی\آمار نامه\آمارنامه - امور دام95\"/>
    </mc:Choice>
  </mc:AlternateContent>
  <bookViews>
    <workbookView xWindow="120" yWindow="105" windowWidth="23895" windowHeight="9210" firstSheet="4" activeTab="4"/>
  </bookViews>
  <sheets>
    <sheet name="جدول تعداد واحدهای دامی و انواع" sheetId="1" r:id="rId1"/>
    <sheet name="تولید گوشت قرمز به تفکیک دام" sheetId="2" r:id="rId2"/>
    <sheet name="جدول تولیدشیر و... به تفکیک" sheetId="3" r:id="rId3"/>
    <sheet name="جدول تولید،مصرف و موازنه تولید" sheetId="4" r:id="rId4"/>
    <sheet name="Sheet1" sheetId="10" r:id="rId5"/>
    <sheet name="آمارتعداد و ظرفیت گوساله" sheetId="5" r:id="rId6"/>
    <sheet name="آمار تعداد و ظرفیت بره" sheetId="6" r:id="rId7"/>
    <sheet name="آمار گاو داری های صنعتی شیری" sheetId="7" r:id="rId8"/>
    <sheet name="گاومیش" sheetId="8" r:id="rId9"/>
    <sheet name="گوشت طیور وتخم مرغ 95" sheetId="9" r:id="rId10"/>
  </sheets>
  <definedNames>
    <definedName name="_xlnm.Print_Area" localSheetId="6">'آمار تعداد و ظرفیت بره'!$A$1:$N$33</definedName>
    <definedName name="_xlnm.Print_Area" localSheetId="7">'آمار گاو داری های صنعتی شیری'!$A$1:$I$30</definedName>
    <definedName name="_xlnm.Print_Area" localSheetId="5">'آمارتعداد و ظرفیت گوساله'!$A$1:$N$33</definedName>
  </definedNames>
  <calcPr calcId="152511"/>
</workbook>
</file>

<file path=xl/calcChain.xml><?xml version="1.0" encoding="utf-8"?>
<calcChain xmlns="http://schemas.openxmlformats.org/spreadsheetml/2006/main">
  <c r="BW64" i="9" l="1"/>
  <c r="BX64" i="9" s="1"/>
  <c r="BY64" i="9" s="1"/>
  <c r="BU37" i="9" s="1"/>
  <c r="BX63" i="9"/>
  <c r="BY63" i="9" s="1"/>
  <c r="BX62" i="9"/>
  <c r="BY62" i="9" s="1"/>
  <c r="BX61" i="9"/>
  <c r="BY61" i="9" s="1"/>
  <c r="BX60" i="9"/>
  <c r="BY60" i="9" s="1"/>
  <c r="BX59" i="9"/>
  <c r="BY59" i="9" s="1"/>
  <c r="BX58" i="9"/>
  <c r="BY58" i="9" s="1"/>
  <c r="BX57" i="9"/>
  <c r="BY57" i="9" s="1"/>
  <c r="BX56" i="9"/>
  <c r="BY56" i="9" s="1"/>
  <c r="BX55" i="9"/>
  <c r="BY55" i="9" s="1"/>
  <c r="BX54" i="9"/>
  <c r="BY54" i="9" s="1"/>
  <c r="BX53" i="9"/>
  <c r="BY53" i="9" s="1"/>
  <c r="BX52" i="9"/>
  <c r="BY52" i="9" s="1"/>
  <c r="BX51" i="9"/>
  <c r="BY51" i="9" s="1"/>
  <c r="BX50" i="9"/>
  <c r="BY50" i="9" s="1"/>
  <c r="BX49" i="9"/>
  <c r="BY49" i="9" s="1"/>
  <c r="BX48" i="9"/>
  <c r="BY48" i="9" s="1"/>
  <c r="BX47" i="9"/>
  <c r="BY47" i="9" s="1"/>
  <c r="BX46" i="9"/>
  <c r="BY46" i="9" s="1"/>
  <c r="BX45" i="9"/>
  <c r="BY45" i="9" s="1"/>
  <c r="BX44" i="9"/>
  <c r="BY44" i="9" s="1"/>
  <c r="BX43" i="9"/>
  <c r="BY43" i="9" s="1"/>
  <c r="BX42" i="9"/>
  <c r="BY42" i="9" s="1"/>
  <c r="BX41" i="9"/>
  <c r="BY41" i="9" s="1"/>
  <c r="BX40" i="9"/>
  <c r="BY40" i="9" s="1"/>
  <c r="AA40" i="9"/>
  <c r="AA42" i="9" s="1"/>
  <c r="BX39" i="9"/>
  <c r="BY39" i="9" s="1"/>
  <c r="BX38" i="9"/>
  <c r="BY38" i="9" s="1"/>
  <c r="BX37" i="9"/>
  <c r="BY37" i="9" s="1"/>
  <c r="CY32" i="9"/>
  <c r="CX32" i="9"/>
  <c r="CG32" i="9"/>
  <c r="CF32" i="9"/>
  <c r="CE32" i="9"/>
  <c r="BW32" i="9"/>
  <c r="AU32" i="9"/>
  <c r="AT32" i="9"/>
  <c r="AB32" i="9"/>
  <c r="AA32" i="9"/>
  <c r="Z32" i="9"/>
  <c r="BK32" i="9" s="1"/>
  <c r="V32" i="9"/>
  <c r="CU32" i="9" s="1"/>
  <c r="T32" i="9"/>
  <c r="CT32" i="9" s="1"/>
  <c r="P32" i="9"/>
  <c r="N32" i="9"/>
  <c r="BE32" i="9" s="1"/>
  <c r="L32" i="9"/>
  <c r="CO32" i="9" s="1"/>
  <c r="K32" i="9"/>
  <c r="CN32" i="9" s="1"/>
  <c r="J32" i="9"/>
  <c r="BA32" i="9" s="1"/>
  <c r="I32" i="9"/>
  <c r="AZ32" i="9" s="1"/>
  <c r="H32" i="9"/>
  <c r="C32" i="9"/>
  <c r="CW31" i="9"/>
  <c r="CU31" i="9"/>
  <c r="CT31" i="9"/>
  <c r="CQ31" i="9"/>
  <c r="CO31" i="9"/>
  <c r="CN31" i="9"/>
  <c r="CP31" i="9" s="1"/>
  <c r="CM31" i="9"/>
  <c r="CL31" i="9"/>
  <c r="CK31" i="9"/>
  <c r="CC31" i="9"/>
  <c r="CB31" i="9"/>
  <c r="BZ31" i="9"/>
  <c r="BY31" i="9"/>
  <c r="BV31" i="9"/>
  <c r="BX31" i="9" s="1"/>
  <c r="BO31" i="9"/>
  <c r="BM31" i="9"/>
  <c r="BL31" i="9"/>
  <c r="BK31" i="9"/>
  <c r="BI31" i="9"/>
  <c r="BH31" i="9"/>
  <c r="BE31" i="9"/>
  <c r="BC31" i="9"/>
  <c r="BB31" i="9"/>
  <c r="BD31" i="9" s="1"/>
  <c r="BA31" i="9"/>
  <c r="AZ31" i="9"/>
  <c r="AY31" i="9"/>
  <c r="AS31" i="9"/>
  <c r="AP31" i="9"/>
  <c r="AK31" i="9"/>
  <c r="AH31" i="9"/>
  <c r="X31" i="9"/>
  <c r="W31" i="9"/>
  <c r="AQ31" i="9" s="1"/>
  <c r="R31" i="9"/>
  <c r="Q31" i="9"/>
  <c r="CR31" i="9" s="1"/>
  <c r="O31" i="9"/>
  <c r="AM31" i="9" s="1"/>
  <c r="M31" i="9"/>
  <c r="G31" i="9"/>
  <c r="AJ31" i="9" s="1"/>
  <c r="AL31" i="9" s="1"/>
  <c r="F31" i="9"/>
  <c r="BU31" i="9" s="1"/>
  <c r="E31" i="9"/>
  <c r="BT31" i="9" s="1"/>
  <c r="D31" i="9"/>
  <c r="BS31" i="9" s="1"/>
  <c r="CW30" i="9"/>
  <c r="CU30" i="9"/>
  <c r="CT30" i="9"/>
  <c r="CQ30" i="9"/>
  <c r="CO30" i="9"/>
  <c r="CN30" i="9"/>
  <c r="CP30" i="9" s="1"/>
  <c r="CM30" i="9"/>
  <c r="CL30" i="9"/>
  <c r="CK30" i="9"/>
  <c r="CC30" i="9"/>
  <c r="CB30" i="9"/>
  <c r="BZ30" i="9"/>
  <c r="BY30" i="9"/>
  <c r="BV30" i="9"/>
  <c r="BX30" i="9" s="1"/>
  <c r="BO30" i="9"/>
  <c r="BM30" i="9"/>
  <c r="BL30" i="9"/>
  <c r="BK30" i="9"/>
  <c r="BI30" i="9"/>
  <c r="BH30" i="9"/>
  <c r="BE30" i="9"/>
  <c r="BC30" i="9"/>
  <c r="BB30" i="9"/>
  <c r="BD30" i="9" s="1"/>
  <c r="BA30" i="9"/>
  <c r="AZ30" i="9"/>
  <c r="AY30" i="9"/>
  <c r="AS30" i="9"/>
  <c r="AP30" i="9"/>
  <c r="AK30" i="9"/>
  <c r="AH30" i="9"/>
  <c r="X30" i="9"/>
  <c r="W30" i="9"/>
  <c r="AQ30" i="9" s="1"/>
  <c r="R30" i="9"/>
  <c r="Q30" i="9"/>
  <c r="CR30" i="9" s="1"/>
  <c r="O30" i="9"/>
  <c r="AM30" i="9" s="1"/>
  <c r="M30" i="9"/>
  <c r="G30" i="9"/>
  <c r="AJ30" i="9" s="1"/>
  <c r="AL30" i="9" s="1"/>
  <c r="F30" i="9"/>
  <c r="BU30" i="9" s="1"/>
  <c r="E30" i="9"/>
  <c r="BT30" i="9" s="1"/>
  <c r="D30" i="9"/>
  <c r="BS30" i="9" s="1"/>
  <c r="CW29" i="9"/>
  <c r="CU29" i="9"/>
  <c r="CT29" i="9"/>
  <c r="CQ29" i="9"/>
  <c r="CO29" i="9"/>
  <c r="CN29" i="9"/>
  <c r="CM29" i="9"/>
  <c r="CL29" i="9"/>
  <c r="CK29" i="9"/>
  <c r="CC29" i="9"/>
  <c r="CB29" i="9"/>
  <c r="CD29" i="9" s="1"/>
  <c r="BZ29" i="9"/>
  <c r="BY29" i="9"/>
  <c r="CA29" i="9" s="1"/>
  <c r="BO29" i="9"/>
  <c r="BM29" i="9"/>
  <c r="BL29" i="9"/>
  <c r="BK29" i="9"/>
  <c r="BI29" i="9"/>
  <c r="BH29" i="9"/>
  <c r="BJ29" i="9" s="1"/>
  <c r="BE29" i="9"/>
  <c r="BC29" i="9"/>
  <c r="BB29" i="9"/>
  <c r="BA29" i="9"/>
  <c r="AZ29" i="9"/>
  <c r="AY29" i="9"/>
  <c r="AS29" i="9"/>
  <c r="AK29" i="9"/>
  <c r="X29" i="9"/>
  <c r="W29" i="9"/>
  <c r="AQ29" i="9" s="1"/>
  <c r="U29" i="9"/>
  <c r="AP29" i="9" s="1"/>
  <c r="AR29" i="9" s="1"/>
  <c r="R29" i="9"/>
  <c r="Q29" i="9"/>
  <c r="O29" i="9"/>
  <c r="AM29" i="9" s="1"/>
  <c r="M29" i="9"/>
  <c r="G29" i="9"/>
  <c r="BV29" i="9" s="1"/>
  <c r="BX29" i="9" s="1"/>
  <c r="F29" i="9"/>
  <c r="BU29" i="9" s="1"/>
  <c r="E29" i="9"/>
  <c r="BT29" i="9" s="1"/>
  <c r="D29" i="9"/>
  <c r="BS29" i="9" s="1"/>
  <c r="CW28" i="9"/>
  <c r="CU28" i="9"/>
  <c r="CT28" i="9"/>
  <c r="CQ28" i="9"/>
  <c r="CO28" i="9"/>
  <c r="CN28" i="9"/>
  <c r="CP28" i="9" s="1"/>
  <c r="CM28" i="9"/>
  <c r="CL28" i="9"/>
  <c r="CK28" i="9"/>
  <c r="CC28" i="9"/>
  <c r="CB28" i="9"/>
  <c r="BZ28" i="9"/>
  <c r="BY28" i="9"/>
  <c r="BO28" i="9"/>
  <c r="BM28" i="9"/>
  <c r="BL28" i="9"/>
  <c r="BK28" i="9"/>
  <c r="BI28" i="9"/>
  <c r="BH28" i="9"/>
  <c r="BE28" i="9"/>
  <c r="BC28" i="9"/>
  <c r="BB28" i="9"/>
  <c r="BD28" i="9" s="1"/>
  <c r="BA28" i="9"/>
  <c r="AZ28" i="9"/>
  <c r="AY28" i="9"/>
  <c r="AS28" i="9"/>
  <c r="AK28" i="9"/>
  <c r="X28" i="9"/>
  <c r="W28" i="9"/>
  <c r="AQ28" i="9" s="1"/>
  <c r="U28" i="9"/>
  <c r="AP28" i="9" s="1"/>
  <c r="R28" i="9"/>
  <c r="Q28" i="9"/>
  <c r="O28" i="9"/>
  <c r="AM28" i="9" s="1"/>
  <c r="M28" i="9"/>
  <c r="G28" i="9"/>
  <c r="BV28" i="9" s="1"/>
  <c r="BX28" i="9" s="1"/>
  <c r="F28" i="9"/>
  <c r="BU28" i="9" s="1"/>
  <c r="E28" i="9"/>
  <c r="BT28" i="9" s="1"/>
  <c r="D28" i="9"/>
  <c r="BS28" i="9" s="1"/>
  <c r="CW27" i="9"/>
  <c r="CU27" i="9"/>
  <c r="CT27" i="9"/>
  <c r="CV27" i="9" s="1"/>
  <c r="CR27" i="9"/>
  <c r="CQ27" i="9"/>
  <c r="CS27" i="9" s="1"/>
  <c r="CO27" i="9"/>
  <c r="CN27" i="9"/>
  <c r="CP27" i="9" s="1"/>
  <c r="CM27" i="9"/>
  <c r="CL27" i="9"/>
  <c r="CK27" i="9"/>
  <c r="CC27" i="9"/>
  <c r="CB27" i="9"/>
  <c r="BZ27" i="9"/>
  <c r="BY27" i="9"/>
  <c r="BO27" i="9"/>
  <c r="BM27" i="9"/>
  <c r="BL27" i="9"/>
  <c r="BK27" i="9"/>
  <c r="BI27" i="9"/>
  <c r="BH27" i="9"/>
  <c r="BE27" i="9"/>
  <c r="BG27" i="9" s="1"/>
  <c r="BC27" i="9"/>
  <c r="BB27" i="9"/>
  <c r="BD27" i="9" s="1"/>
  <c r="BA27" i="9"/>
  <c r="AZ27" i="9"/>
  <c r="AY27" i="9"/>
  <c r="AS27" i="9"/>
  <c r="AN27" i="9"/>
  <c r="BF27" i="9" s="1"/>
  <c r="AK27" i="9"/>
  <c r="X27" i="9"/>
  <c r="W27" i="9"/>
  <c r="AQ27" i="9" s="1"/>
  <c r="U27" i="9"/>
  <c r="AP27" i="9" s="1"/>
  <c r="R27" i="9"/>
  <c r="Q27" i="9"/>
  <c r="O27" i="9"/>
  <c r="AM27" i="9" s="1"/>
  <c r="AO27" i="9" s="1"/>
  <c r="M27" i="9"/>
  <c r="G27" i="9"/>
  <c r="BV27" i="9" s="1"/>
  <c r="BX27" i="9" s="1"/>
  <c r="F27" i="9"/>
  <c r="BU27" i="9" s="1"/>
  <c r="E27" i="9"/>
  <c r="BT27" i="9" s="1"/>
  <c r="D27" i="9"/>
  <c r="BS27" i="9" s="1"/>
  <c r="CW26" i="9"/>
  <c r="CU26" i="9"/>
  <c r="CT26" i="9"/>
  <c r="CV26" i="9" s="1"/>
  <c r="CQ26" i="9"/>
  <c r="CO26" i="9"/>
  <c r="CN26" i="9"/>
  <c r="CM26" i="9"/>
  <c r="CL26" i="9"/>
  <c r="CK26" i="9"/>
  <c r="CC26" i="9"/>
  <c r="CB26" i="9"/>
  <c r="CD26" i="9" s="1"/>
  <c r="BZ26" i="9"/>
  <c r="BY26" i="9"/>
  <c r="CA26" i="9" s="1"/>
  <c r="BO26" i="9"/>
  <c r="BM26" i="9"/>
  <c r="BL26" i="9"/>
  <c r="BK26" i="9"/>
  <c r="BI26" i="9"/>
  <c r="BH26" i="9"/>
  <c r="BJ26" i="9" s="1"/>
  <c r="BE26" i="9"/>
  <c r="BC26" i="9"/>
  <c r="BB26" i="9"/>
  <c r="BA26" i="9"/>
  <c r="AZ26" i="9"/>
  <c r="AY26" i="9"/>
  <c r="AS26" i="9"/>
  <c r="AM26" i="9"/>
  <c r="AK26" i="9"/>
  <c r="X26" i="9"/>
  <c r="W26" i="9"/>
  <c r="AQ26" i="9" s="1"/>
  <c r="U26" i="9"/>
  <c r="AP26" i="9" s="1"/>
  <c r="AR26" i="9" s="1"/>
  <c r="R26" i="9"/>
  <c r="Q26" i="9"/>
  <c r="S26" i="9" s="1"/>
  <c r="O26" i="9"/>
  <c r="M26" i="9"/>
  <c r="G26" i="9"/>
  <c r="BV26" i="9" s="1"/>
  <c r="BX26" i="9" s="1"/>
  <c r="F26" i="9"/>
  <c r="BU26" i="9" s="1"/>
  <c r="E26" i="9"/>
  <c r="BT26" i="9" s="1"/>
  <c r="D26" i="9"/>
  <c r="BS26" i="9" s="1"/>
  <c r="CH26" i="9" s="1"/>
  <c r="CW25" i="9"/>
  <c r="CU25" i="9"/>
  <c r="CT25" i="9"/>
  <c r="CR25" i="9"/>
  <c r="CQ25" i="9"/>
  <c r="CO25" i="9"/>
  <c r="CN25" i="9"/>
  <c r="CM25" i="9"/>
  <c r="CL25" i="9"/>
  <c r="CK25" i="9"/>
  <c r="CC25" i="9"/>
  <c r="CB25" i="9"/>
  <c r="CD25" i="9" s="1"/>
  <c r="BZ25" i="9"/>
  <c r="BY25" i="9"/>
  <c r="CA25" i="9" s="1"/>
  <c r="BO25" i="9"/>
  <c r="BM25" i="9"/>
  <c r="BL25" i="9"/>
  <c r="BK25" i="9"/>
  <c r="BI25" i="9"/>
  <c r="BH25" i="9"/>
  <c r="BJ25" i="9" s="1"/>
  <c r="BE25" i="9"/>
  <c r="BC25" i="9"/>
  <c r="BB25" i="9"/>
  <c r="BA25" i="9"/>
  <c r="AZ25" i="9"/>
  <c r="AY25" i="9"/>
  <c r="AS25" i="9"/>
  <c r="AN25" i="9"/>
  <c r="BF25" i="9" s="1"/>
  <c r="AK25" i="9"/>
  <c r="X25" i="9"/>
  <c r="W25" i="9"/>
  <c r="AQ25" i="9" s="1"/>
  <c r="U25" i="9"/>
  <c r="AP25" i="9" s="1"/>
  <c r="AR25" i="9" s="1"/>
  <c r="R25" i="9"/>
  <c r="Q25" i="9"/>
  <c r="O25" i="9"/>
  <c r="AM25" i="9" s="1"/>
  <c r="M25" i="9"/>
  <c r="G25" i="9"/>
  <c r="BV25" i="9" s="1"/>
  <c r="BX25" i="9" s="1"/>
  <c r="F25" i="9"/>
  <c r="BU25" i="9" s="1"/>
  <c r="E25" i="9"/>
  <c r="BT25" i="9" s="1"/>
  <c r="D25" i="9"/>
  <c r="BS25" i="9" s="1"/>
  <c r="CH25" i="9" s="1"/>
  <c r="CW24" i="9"/>
  <c r="CU24" i="9"/>
  <c r="CT24" i="9"/>
  <c r="CQ24" i="9"/>
  <c r="CO24" i="9"/>
  <c r="CN24" i="9"/>
  <c r="CP24" i="9" s="1"/>
  <c r="CM24" i="9"/>
  <c r="CL24" i="9"/>
  <c r="CK24" i="9"/>
  <c r="CC24" i="9"/>
  <c r="CB24" i="9"/>
  <c r="BZ24" i="9"/>
  <c r="BY24" i="9"/>
  <c r="BO24" i="9"/>
  <c r="BM24" i="9"/>
  <c r="BL24" i="9"/>
  <c r="BK24" i="9"/>
  <c r="BI24" i="9"/>
  <c r="BH24" i="9"/>
  <c r="BE24" i="9"/>
  <c r="BC24" i="9"/>
  <c r="BB24" i="9"/>
  <c r="BD24" i="9" s="1"/>
  <c r="BA24" i="9"/>
  <c r="AZ24" i="9"/>
  <c r="AY24" i="9"/>
  <c r="AS24" i="9"/>
  <c r="AK24" i="9"/>
  <c r="X24" i="9"/>
  <c r="W24" i="9"/>
  <c r="AQ24" i="9" s="1"/>
  <c r="U24" i="9"/>
  <c r="AP24" i="9" s="1"/>
  <c r="R24" i="9"/>
  <c r="Q24" i="9"/>
  <c r="O24" i="9"/>
  <c r="AM24" i="9" s="1"/>
  <c r="M24" i="9"/>
  <c r="G24" i="9"/>
  <c r="BV24" i="9" s="1"/>
  <c r="BX24" i="9" s="1"/>
  <c r="F24" i="9"/>
  <c r="BU24" i="9" s="1"/>
  <c r="E24" i="9"/>
  <c r="BT24" i="9" s="1"/>
  <c r="D24" i="9"/>
  <c r="BS24" i="9" s="1"/>
  <c r="CW23" i="9"/>
  <c r="CU23" i="9"/>
  <c r="CT23" i="9"/>
  <c r="CV23" i="9" s="1"/>
  <c r="CQ23" i="9"/>
  <c r="CO23" i="9"/>
  <c r="CN23" i="9"/>
  <c r="CM23" i="9"/>
  <c r="CL23" i="9"/>
  <c r="CK23" i="9"/>
  <c r="CC23" i="9"/>
  <c r="CB23" i="9"/>
  <c r="CD23" i="9" s="1"/>
  <c r="BZ23" i="9"/>
  <c r="BY23" i="9"/>
  <c r="CA23" i="9" s="1"/>
  <c r="BO23" i="9"/>
  <c r="BM23" i="9"/>
  <c r="BL23" i="9"/>
  <c r="BK23" i="9"/>
  <c r="BI23" i="9"/>
  <c r="BH23" i="9"/>
  <c r="BJ23" i="9" s="1"/>
  <c r="BE23" i="9"/>
  <c r="BC23" i="9"/>
  <c r="BB23" i="9"/>
  <c r="BA23" i="9"/>
  <c r="AZ23" i="9"/>
  <c r="AY23" i="9"/>
  <c r="AS23" i="9"/>
  <c r="AQ23" i="9"/>
  <c r="AM23" i="9"/>
  <c r="AK23" i="9"/>
  <c r="X23" i="9"/>
  <c r="U23" i="9"/>
  <c r="Y23" i="9" s="1"/>
  <c r="R23" i="9"/>
  <c r="Q23" i="9"/>
  <c r="CR23" i="9" s="1"/>
  <c r="M23" i="9"/>
  <c r="G23" i="9"/>
  <c r="BV23" i="9" s="1"/>
  <c r="BX23" i="9" s="1"/>
  <c r="F23" i="9"/>
  <c r="BU23" i="9" s="1"/>
  <c r="E23" i="9"/>
  <c r="BT23" i="9" s="1"/>
  <c r="D23" i="9"/>
  <c r="BS23" i="9" s="1"/>
  <c r="CW22" i="9"/>
  <c r="CU22" i="9"/>
  <c r="CT22" i="9"/>
  <c r="CQ22" i="9"/>
  <c r="CO22" i="9"/>
  <c r="CN22" i="9"/>
  <c r="CP22" i="9" s="1"/>
  <c r="CM22" i="9"/>
  <c r="CL22" i="9"/>
  <c r="CK22" i="9"/>
  <c r="CC22" i="9"/>
  <c r="CB22" i="9"/>
  <c r="BZ22" i="9"/>
  <c r="BY22" i="9"/>
  <c r="BO22" i="9"/>
  <c r="BM22" i="9"/>
  <c r="BL22" i="9"/>
  <c r="BK22" i="9"/>
  <c r="BI22" i="9"/>
  <c r="BH22" i="9"/>
  <c r="BE22" i="9"/>
  <c r="BC22" i="9"/>
  <c r="BB22" i="9"/>
  <c r="BD22" i="9" s="1"/>
  <c r="BA22" i="9"/>
  <c r="AZ22" i="9"/>
  <c r="AY22" i="9"/>
  <c r="AS22" i="9"/>
  <c r="AK22" i="9"/>
  <c r="X22" i="9"/>
  <c r="W22" i="9"/>
  <c r="AQ22" i="9" s="1"/>
  <c r="U22" i="9"/>
  <c r="AP22" i="9" s="1"/>
  <c r="R22" i="9"/>
  <c r="Q22" i="9"/>
  <c r="O22" i="9"/>
  <c r="AM22" i="9" s="1"/>
  <c r="M22" i="9"/>
  <c r="G22" i="9"/>
  <c r="BV22" i="9" s="1"/>
  <c r="BX22" i="9" s="1"/>
  <c r="F22" i="9"/>
  <c r="BU22" i="9" s="1"/>
  <c r="E22" i="9"/>
  <c r="BT22" i="9" s="1"/>
  <c r="D22" i="9"/>
  <c r="BS22" i="9" s="1"/>
  <c r="CW21" i="9"/>
  <c r="CU21" i="9"/>
  <c r="CT21" i="9"/>
  <c r="CV21" i="9" s="1"/>
  <c r="CR21" i="9"/>
  <c r="CQ21" i="9"/>
  <c r="CS21" i="9" s="1"/>
  <c r="CO21" i="9"/>
  <c r="CN21" i="9"/>
  <c r="CP21" i="9" s="1"/>
  <c r="CM21" i="9"/>
  <c r="CL21" i="9"/>
  <c r="CK21" i="9"/>
  <c r="CC21" i="9"/>
  <c r="CB21" i="9"/>
  <c r="BZ21" i="9"/>
  <c r="BY21" i="9"/>
  <c r="BO21" i="9"/>
  <c r="BM21" i="9"/>
  <c r="BL21" i="9"/>
  <c r="BK21" i="9"/>
  <c r="BI21" i="9"/>
  <c r="BH21" i="9"/>
  <c r="BE21" i="9"/>
  <c r="BG21" i="9" s="1"/>
  <c r="BC21" i="9"/>
  <c r="BB21" i="9"/>
  <c r="BD21" i="9" s="1"/>
  <c r="BA21" i="9"/>
  <c r="AZ21" i="9"/>
  <c r="AY21" i="9"/>
  <c r="AS21" i="9"/>
  <c r="AN21" i="9"/>
  <c r="BF21" i="9" s="1"/>
  <c r="AK21" i="9"/>
  <c r="X21" i="9"/>
  <c r="W21" i="9"/>
  <c r="AQ21" i="9" s="1"/>
  <c r="U21" i="9"/>
  <c r="AP21" i="9" s="1"/>
  <c r="R21" i="9"/>
  <c r="Q21" i="9"/>
  <c r="O21" i="9"/>
  <c r="AM21" i="9" s="1"/>
  <c r="AO21" i="9" s="1"/>
  <c r="M21" i="9"/>
  <c r="G21" i="9"/>
  <c r="BV21" i="9" s="1"/>
  <c r="BX21" i="9" s="1"/>
  <c r="F21" i="9"/>
  <c r="BU21" i="9" s="1"/>
  <c r="E21" i="9"/>
  <c r="BT21" i="9" s="1"/>
  <c r="D21" i="9"/>
  <c r="BS21" i="9" s="1"/>
  <c r="CW20" i="9"/>
  <c r="CU20" i="9"/>
  <c r="CT20" i="9"/>
  <c r="CV20" i="9" s="1"/>
  <c r="CQ20" i="9"/>
  <c r="CO20" i="9"/>
  <c r="CN20" i="9"/>
  <c r="CM20" i="9"/>
  <c r="CL20" i="9"/>
  <c r="CK20" i="9"/>
  <c r="CC20" i="9"/>
  <c r="CB20" i="9"/>
  <c r="CD20" i="9" s="1"/>
  <c r="BZ20" i="9"/>
  <c r="BY20" i="9"/>
  <c r="CA20" i="9" s="1"/>
  <c r="BO20" i="9"/>
  <c r="BM20" i="9"/>
  <c r="BL20" i="9"/>
  <c r="BK20" i="9"/>
  <c r="BI20" i="9"/>
  <c r="BH20" i="9"/>
  <c r="BJ20" i="9" s="1"/>
  <c r="BE20" i="9"/>
  <c r="BC20" i="9"/>
  <c r="BB20" i="9"/>
  <c r="BA20" i="9"/>
  <c r="AZ20" i="9"/>
  <c r="AY20" i="9"/>
  <c r="AS20" i="9"/>
  <c r="AK20" i="9"/>
  <c r="AG20" i="9"/>
  <c r="X20" i="9"/>
  <c r="W20" i="9"/>
  <c r="AQ20" i="9" s="1"/>
  <c r="U20" i="9"/>
  <c r="AP20" i="9" s="1"/>
  <c r="R20" i="9"/>
  <c r="Q20" i="9"/>
  <c r="O20" i="9"/>
  <c r="AM20" i="9" s="1"/>
  <c r="M20" i="9"/>
  <c r="G20" i="9"/>
  <c r="BV20" i="9" s="1"/>
  <c r="BX20" i="9" s="1"/>
  <c r="F20" i="9"/>
  <c r="BU20" i="9" s="1"/>
  <c r="E20" i="9"/>
  <c r="BT20" i="9" s="1"/>
  <c r="D20" i="9"/>
  <c r="BS20" i="9" s="1"/>
  <c r="CW19" i="9"/>
  <c r="CU19" i="9"/>
  <c r="CT19" i="9"/>
  <c r="CV19" i="9" s="1"/>
  <c r="CQ19" i="9"/>
  <c r="CO19" i="9"/>
  <c r="CN19" i="9"/>
  <c r="CM19" i="9"/>
  <c r="CL19" i="9"/>
  <c r="CK19" i="9"/>
  <c r="CC19" i="9"/>
  <c r="CB19" i="9"/>
  <c r="BZ19" i="9"/>
  <c r="BY19" i="9"/>
  <c r="CA19" i="9" s="1"/>
  <c r="BO19" i="9"/>
  <c r="BM19" i="9"/>
  <c r="BL19" i="9"/>
  <c r="BK19" i="9"/>
  <c r="BI19" i="9"/>
  <c r="BH19" i="9"/>
  <c r="BJ19" i="9" s="1"/>
  <c r="BE19" i="9"/>
  <c r="BC19" i="9"/>
  <c r="BB19" i="9"/>
  <c r="BA19" i="9"/>
  <c r="AZ19" i="9"/>
  <c r="AY19" i="9"/>
  <c r="AS19" i="9"/>
  <c r="AN19" i="9"/>
  <c r="BF19" i="9" s="1"/>
  <c r="AK19" i="9"/>
  <c r="X19" i="9"/>
  <c r="W19" i="9"/>
  <c r="U19" i="9"/>
  <c r="AP19" i="9" s="1"/>
  <c r="R19" i="9"/>
  <c r="Q19" i="9"/>
  <c r="CR19" i="9" s="1"/>
  <c r="O19" i="9"/>
  <c r="AM19" i="9" s="1"/>
  <c r="M19" i="9"/>
  <c r="G19" i="9"/>
  <c r="BV19" i="9" s="1"/>
  <c r="BX19" i="9" s="1"/>
  <c r="F19" i="9"/>
  <c r="E19" i="9"/>
  <c r="BT19" i="9" s="1"/>
  <c r="D19" i="9"/>
  <c r="CW18" i="9"/>
  <c r="CU18" i="9"/>
  <c r="CT18" i="9"/>
  <c r="CQ18" i="9"/>
  <c r="CO18" i="9"/>
  <c r="CN18" i="9"/>
  <c r="CP18" i="9" s="1"/>
  <c r="CM18" i="9"/>
  <c r="CL18" i="9"/>
  <c r="CK18" i="9"/>
  <c r="CC18" i="9"/>
  <c r="CB18" i="9"/>
  <c r="BZ18" i="9"/>
  <c r="BY18" i="9"/>
  <c r="BO18" i="9"/>
  <c r="BM18" i="9"/>
  <c r="BL18" i="9"/>
  <c r="BK18" i="9"/>
  <c r="BI18" i="9"/>
  <c r="BH18" i="9"/>
  <c r="BE18" i="9"/>
  <c r="BC18" i="9"/>
  <c r="BB18" i="9"/>
  <c r="BD18" i="9" s="1"/>
  <c r="BA18" i="9"/>
  <c r="AZ18" i="9"/>
  <c r="AY18" i="9"/>
  <c r="AS18" i="9"/>
  <c r="AK18" i="9"/>
  <c r="X18" i="9"/>
  <c r="W18" i="9"/>
  <c r="AQ18" i="9" s="1"/>
  <c r="U18" i="9"/>
  <c r="AP18" i="9" s="1"/>
  <c r="R18" i="9"/>
  <c r="Q18" i="9"/>
  <c r="O18" i="9"/>
  <c r="AM18" i="9" s="1"/>
  <c r="M18" i="9"/>
  <c r="G18" i="9"/>
  <c r="BV18" i="9" s="1"/>
  <c r="BX18" i="9" s="1"/>
  <c r="F18" i="9"/>
  <c r="BU18" i="9" s="1"/>
  <c r="E18" i="9"/>
  <c r="BT18" i="9" s="1"/>
  <c r="D18" i="9"/>
  <c r="BS18" i="9" s="1"/>
  <c r="CW17" i="9"/>
  <c r="CU17" i="9"/>
  <c r="CT17" i="9"/>
  <c r="CV17" i="9" s="1"/>
  <c r="CQ17" i="9"/>
  <c r="CO17" i="9"/>
  <c r="CN17" i="9"/>
  <c r="CM17" i="9"/>
  <c r="CL17" i="9"/>
  <c r="CK17" i="9"/>
  <c r="CC17" i="9"/>
  <c r="CB17" i="9"/>
  <c r="CD17" i="9" s="1"/>
  <c r="BZ17" i="9"/>
  <c r="BY17" i="9"/>
  <c r="CA17" i="9" s="1"/>
  <c r="BO17" i="9"/>
  <c r="BM17" i="9"/>
  <c r="BL17" i="9"/>
  <c r="BK17" i="9"/>
  <c r="BI17" i="9"/>
  <c r="BH17" i="9"/>
  <c r="BJ17" i="9" s="1"/>
  <c r="BE17" i="9"/>
  <c r="BC17" i="9"/>
  <c r="BB17" i="9"/>
  <c r="BA17" i="9"/>
  <c r="AZ17" i="9"/>
  <c r="AY17" i="9"/>
  <c r="AS17" i="9"/>
  <c r="AK17" i="9"/>
  <c r="X17" i="9"/>
  <c r="W17" i="9"/>
  <c r="AQ17" i="9" s="1"/>
  <c r="U17" i="9"/>
  <c r="AP17" i="9" s="1"/>
  <c r="AR17" i="9" s="1"/>
  <c r="R17" i="9"/>
  <c r="Q17" i="9"/>
  <c r="O17" i="9"/>
  <c r="AM17" i="9" s="1"/>
  <c r="M17" i="9"/>
  <c r="G17" i="9"/>
  <c r="BV17" i="9" s="1"/>
  <c r="BX17" i="9" s="1"/>
  <c r="F17" i="9"/>
  <c r="BU17" i="9" s="1"/>
  <c r="E17" i="9"/>
  <c r="BT17" i="9" s="1"/>
  <c r="D17" i="9"/>
  <c r="BS17" i="9" s="1"/>
  <c r="CW16" i="9"/>
  <c r="CU16" i="9"/>
  <c r="CT16" i="9"/>
  <c r="CQ16" i="9"/>
  <c r="CO16" i="9"/>
  <c r="CN16" i="9"/>
  <c r="CP16" i="9" s="1"/>
  <c r="CM16" i="9"/>
  <c r="CL16" i="9"/>
  <c r="CK16" i="9"/>
  <c r="CC16" i="9"/>
  <c r="CB16" i="9"/>
  <c r="BZ16" i="9"/>
  <c r="BY16" i="9"/>
  <c r="BU16" i="9"/>
  <c r="BO16" i="9"/>
  <c r="BM16" i="9"/>
  <c r="BL16" i="9"/>
  <c r="BK16" i="9"/>
  <c r="BI16" i="9"/>
  <c r="BH16" i="9"/>
  <c r="BE16" i="9"/>
  <c r="BC16" i="9"/>
  <c r="BB16" i="9"/>
  <c r="BD16" i="9" s="1"/>
  <c r="BA16" i="9"/>
  <c r="AZ16" i="9"/>
  <c r="AY16" i="9"/>
  <c r="AS16" i="9"/>
  <c r="AM16" i="9"/>
  <c r="AK16" i="9"/>
  <c r="X16" i="9"/>
  <c r="W16" i="9"/>
  <c r="AQ16" i="9" s="1"/>
  <c r="U16" i="9"/>
  <c r="AP16" i="9" s="1"/>
  <c r="R16" i="9"/>
  <c r="Q16" i="9"/>
  <c r="S16" i="9" s="1"/>
  <c r="M16" i="9"/>
  <c r="G16" i="9"/>
  <c r="BV16" i="9" s="1"/>
  <c r="BX16" i="9" s="1"/>
  <c r="F16" i="9"/>
  <c r="AI16" i="9" s="1"/>
  <c r="E16" i="9"/>
  <c r="BT16" i="9" s="1"/>
  <c r="D16" i="9"/>
  <c r="CW15" i="9"/>
  <c r="CU15" i="9"/>
  <c r="CT15" i="9"/>
  <c r="CQ15" i="9"/>
  <c r="CO15" i="9"/>
  <c r="CN15" i="9"/>
  <c r="CP15" i="9" s="1"/>
  <c r="CM15" i="9"/>
  <c r="CL15" i="9"/>
  <c r="CK15" i="9"/>
  <c r="CC15" i="9"/>
  <c r="CB15" i="9"/>
  <c r="BZ15" i="9"/>
  <c r="BY15" i="9"/>
  <c r="BO15" i="9"/>
  <c r="BM15" i="9"/>
  <c r="BL15" i="9"/>
  <c r="BK15" i="9"/>
  <c r="BI15" i="9"/>
  <c r="BH15" i="9"/>
  <c r="BE15" i="9"/>
  <c r="BC15" i="9"/>
  <c r="BB15" i="9"/>
  <c r="BD15" i="9" s="1"/>
  <c r="BA15" i="9"/>
  <c r="AZ15" i="9"/>
  <c r="AY15" i="9"/>
  <c r="AS15" i="9"/>
  <c r="AK15" i="9"/>
  <c r="X15" i="9"/>
  <c r="W15" i="9"/>
  <c r="AQ15" i="9" s="1"/>
  <c r="U15" i="9"/>
  <c r="AP15" i="9" s="1"/>
  <c r="R15" i="9"/>
  <c r="Q15" i="9"/>
  <c r="O15" i="9"/>
  <c r="AM15" i="9" s="1"/>
  <c r="M15" i="9"/>
  <c r="G15" i="9"/>
  <c r="BV15" i="9" s="1"/>
  <c r="BX15" i="9" s="1"/>
  <c r="F15" i="9"/>
  <c r="BU15" i="9" s="1"/>
  <c r="E15" i="9"/>
  <c r="BT15" i="9" s="1"/>
  <c r="D15" i="9"/>
  <c r="BS15" i="9" s="1"/>
  <c r="CW14" i="9"/>
  <c r="CU14" i="9"/>
  <c r="CT14" i="9"/>
  <c r="CV14" i="9" s="1"/>
  <c r="CQ14" i="9"/>
  <c r="CO14" i="9"/>
  <c r="CN14" i="9"/>
  <c r="CP14" i="9" s="1"/>
  <c r="CM14" i="9"/>
  <c r="CL14" i="9"/>
  <c r="CK14" i="9"/>
  <c r="CC14" i="9"/>
  <c r="CB14" i="9"/>
  <c r="BZ14" i="9"/>
  <c r="BY14" i="9"/>
  <c r="BO14" i="9"/>
  <c r="BM14" i="9"/>
  <c r="BL14" i="9"/>
  <c r="BK14" i="9"/>
  <c r="BI14" i="9"/>
  <c r="BH14" i="9"/>
  <c r="BE14" i="9"/>
  <c r="BC14" i="9"/>
  <c r="BB14" i="9"/>
  <c r="BD14" i="9" s="1"/>
  <c r="BA14" i="9"/>
  <c r="AZ14" i="9"/>
  <c r="AY14" i="9"/>
  <c r="AS14" i="9"/>
  <c r="AK14" i="9"/>
  <c r="X14" i="9"/>
  <c r="W14" i="9"/>
  <c r="AQ14" i="9" s="1"/>
  <c r="U14" i="9"/>
  <c r="AP14" i="9" s="1"/>
  <c r="R14" i="9"/>
  <c r="Q14" i="9"/>
  <c r="CR14" i="9" s="1"/>
  <c r="O14" i="9"/>
  <c r="AM14" i="9" s="1"/>
  <c r="M14" i="9"/>
  <c r="G14" i="9"/>
  <c r="BV14" i="9" s="1"/>
  <c r="BX14" i="9" s="1"/>
  <c r="F14" i="9"/>
  <c r="BU14" i="9" s="1"/>
  <c r="E14" i="9"/>
  <c r="BT14" i="9" s="1"/>
  <c r="D14" i="9"/>
  <c r="BS14" i="9" s="1"/>
  <c r="CW13" i="9"/>
  <c r="CU13" i="9"/>
  <c r="CT13" i="9"/>
  <c r="CV13" i="9" s="1"/>
  <c r="CQ13" i="9"/>
  <c r="CO13" i="9"/>
  <c r="CN13" i="9"/>
  <c r="CM13" i="9"/>
  <c r="CL13" i="9"/>
  <c r="CK13" i="9"/>
  <c r="CC13" i="9"/>
  <c r="CB13" i="9"/>
  <c r="CD13" i="9" s="1"/>
  <c r="BZ13" i="9"/>
  <c r="BY13" i="9"/>
  <c r="CA13" i="9" s="1"/>
  <c r="BO13" i="9"/>
  <c r="BM13" i="9"/>
  <c r="BL13" i="9"/>
  <c r="BK13" i="9"/>
  <c r="BI13" i="9"/>
  <c r="BH13" i="9"/>
  <c r="BJ13" i="9" s="1"/>
  <c r="BE13" i="9"/>
  <c r="BC13" i="9"/>
  <c r="BB13" i="9"/>
  <c r="BA13" i="9"/>
  <c r="AZ13" i="9"/>
  <c r="AY13" i="9"/>
  <c r="AS13" i="9"/>
  <c r="AP13" i="9"/>
  <c r="AM13" i="9"/>
  <c r="AK13" i="9"/>
  <c r="X13" i="9"/>
  <c r="W13" i="9"/>
  <c r="AQ13" i="9" s="1"/>
  <c r="R13" i="9"/>
  <c r="Q13" i="9"/>
  <c r="CR13" i="9" s="1"/>
  <c r="M13" i="9"/>
  <c r="G13" i="9"/>
  <c r="BV13" i="9" s="1"/>
  <c r="BX13" i="9" s="1"/>
  <c r="F13" i="9"/>
  <c r="BU13" i="9" s="1"/>
  <c r="E13" i="9"/>
  <c r="BT13" i="9" s="1"/>
  <c r="D13" i="9"/>
  <c r="BS13" i="9" s="1"/>
  <c r="CW12" i="9"/>
  <c r="CU12" i="9"/>
  <c r="CT12" i="9"/>
  <c r="CV12" i="9" s="1"/>
  <c r="CR12" i="9"/>
  <c r="CQ12" i="9"/>
  <c r="CS12" i="9" s="1"/>
  <c r="CO12" i="9"/>
  <c r="CN12" i="9"/>
  <c r="CP12" i="9" s="1"/>
  <c r="CM12" i="9"/>
  <c r="CL12" i="9"/>
  <c r="CZ12" i="9" s="1"/>
  <c r="DA12" i="9" s="1"/>
  <c r="CK12" i="9"/>
  <c r="CC12" i="9"/>
  <c r="CB12" i="9"/>
  <c r="BZ12" i="9"/>
  <c r="BY12" i="9"/>
  <c r="BO12" i="9"/>
  <c r="BM12" i="9"/>
  <c r="BL12" i="9"/>
  <c r="BK12" i="9"/>
  <c r="BI12" i="9"/>
  <c r="BH12" i="9"/>
  <c r="BE12" i="9"/>
  <c r="BG12" i="9" s="1"/>
  <c r="BC12" i="9"/>
  <c r="BB12" i="9"/>
  <c r="BD12" i="9" s="1"/>
  <c r="BA12" i="9"/>
  <c r="AZ12" i="9"/>
  <c r="AY12" i="9"/>
  <c r="AS12" i="9"/>
  <c r="AN12" i="9"/>
  <c r="BF12" i="9" s="1"/>
  <c r="AK12" i="9"/>
  <c r="X12" i="9"/>
  <c r="W12" i="9"/>
  <c r="AQ12" i="9" s="1"/>
  <c r="U12" i="9"/>
  <c r="AP12" i="9" s="1"/>
  <c r="R12" i="9"/>
  <c r="Q12" i="9"/>
  <c r="O12" i="9"/>
  <c r="AM12" i="9" s="1"/>
  <c r="AO12" i="9" s="1"/>
  <c r="M12" i="9"/>
  <c r="G12" i="9"/>
  <c r="BV12" i="9" s="1"/>
  <c r="BX12" i="9" s="1"/>
  <c r="F12" i="9"/>
  <c r="BU12" i="9" s="1"/>
  <c r="E12" i="9"/>
  <c r="BT12" i="9" s="1"/>
  <c r="D12" i="9"/>
  <c r="BS12" i="9" s="1"/>
  <c r="CW11" i="9"/>
  <c r="CU11" i="9"/>
  <c r="CT11" i="9"/>
  <c r="CV11" i="9" s="1"/>
  <c r="CQ11" i="9"/>
  <c r="CO11" i="9"/>
  <c r="CN11" i="9"/>
  <c r="CM11" i="9"/>
  <c r="CL11" i="9"/>
  <c r="CK11" i="9"/>
  <c r="CC11" i="9"/>
  <c r="CB11" i="9"/>
  <c r="CD11" i="9" s="1"/>
  <c r="BZ11" i="9"/>
  <c r="BY11" i="9"/>
  <c r="CA11" i="9" s="1"/>
  <c r="BO11" i="9"/>
  <c r="BM11" i="9"/>
  <c r="BL11" i="9"/>
  <c r="BK11" i="9"/>
  <c r="BI11" i="9"/>
  <c r="BH11" i="9"/>
  <c r="BJ11" i="9" s="1"/>
  <c r="BE11" i="9"/>
  <c r="BC11" i="9"/>
  <c r="BB11" i="9"/>
  <c r="BA11" i="9"/>
  <c r="AZ11" i="9"/>
  <c r="AY11" i="9"/>
  <c r="AS11" i="9"/>
  <c r="AM11" i="9"/>
  <c r="AK11" i="9"/>
  <c r="X11" i="9"/>
  <c r="W11" i="9"/>
  <c r="AQ11" i="9" s="1"/>
  <c r="U11" i="9"/>
  <c r="AP11" i="9" s="1"/>
  <c r="AR11" i="9" s="1"/>
  <c r="R11" i="9"/>
  <c r="Q11" i="9"/>
  <c r="S11" i="9" s="1"/>
  <c r="O11" i="9"/>
  <c r="M11" i="9"/>
  <c r="G11" i="9"/>
  <c r="BV11" i="9" s="1"/>
  <c r="BX11" i="9" s="1"/>
  <c r="F11" i="9"/>
  <c r="BU11" i="9" s="1"/>
  <c r="E11" i="9"/>
  <c r="BT11" i="9" s="1"/>
  <c r="D11" i="9"/>
  <c r="BS11" i="9" s="1"/>
  <c r="CW10" i="9"/>
  <c r="CU10" i="9"/>
  <c r="CT10" i="9"/>
  <c r="CQ10" i="9"/>
  <c r="CO10" i="9"/>
  <c r="CN10" i="9"/>
  <c r="CM10" i="9"/>
  <c r="CL10" i="9"/>
  <c r="CK10" i="9"/>
  <c r="CC10" i="9"/>
  <c r="CB10" i="9"/>
  <c r="CD10" i="9" s="1"/>
  <c r="BZ10" i="9"/>
  <c r="BY10" i="9"/>
  <c r="CA10" i="9" s="1"/>
  <c r="BO10" i="9"/>
  <c r="BM10" i="9"/>
  <c r="BL10" i="9"/>
  <c r="BK10" i="9"/>
  <c r="BI10" i="9"/>
  <c r="BH10" i="9"/>
  <c r="BJ10" i="9" s="1"/>
  <c r="BE10" i="9"/>
  <c r="BC10" i="9"/>
  <c r="BB10" i="9"/>
  <c r="BA10" i="9"/>
  <c r="AZ10" i="9"/>
  <c r="AY10" i="9"/>
  <c r="AS10" i="9"/>
  <c r="AK10" i="9"/>
  <c r="X10" i="9"/>
  <c r="W10" i="9"/>
  <c r="AQ10" i="9" s="1"/>
  <c r="U10" i="9"/>
  <c r="AP10" i="9" s="1"/>
  <c r="AR10" i="9" s="1"/>
  <c r="R10" i="9"/>
  <c r="Q10" i="9"/>
  <c r="CR10" i="9" s="1"/>
  <c r="O10" i="9"/>
  <c r="AM10" i="9" s="1"/>
  <c r="M10" i="9"/>
  <c r="G10" i="9"/>
  <c r="BV10" i="9" s="1"/>
  <c r="BX10" i="9" s="1"/>
  <c r="F10" i="9"/>
  <c r="BU10" i="9" s="1"/>
  <c r="E10" i="9"/>
  <c r="BT10" i="9" s="1"/>
  <c r="D10" i="9"/>
  <c r="BS10" i="9" s="1"/>
  <c r="CW9" i="9"/>
  <c r="CU9" i="9"/>
  <c r="CT9" i="9"/>
  <c r="CQ9" i="9"/>
  <c r="CO9" i="9"/>
  <c r="CN9" i="9"/>
  <c r="CP9" i="9" s="1"/>
  <c r="CM9" i="9"/>
  <c r="CL9" i="9"/>
  <c r="CK9" i="9"/>
  <c r="CC9" i="9"/>
  <c r="CB9" i="9"/>
  <c r="BZ9" i="9"/>
  <c r="BY9" i="9"/>
  <c r="BO9" i="9"/>
  <c r="BM9" i="9"/>
  <c r="BL9" i="9"/>
  <c r="BK9" i="9"/>
  <c r="BI9" i="9"/>
  <c r="BH9" i="9"/>
  <c r="BE9" i="9"/>
  <c r="BC9" i="9"/>
  <c r="BB9" i="9"/>
  <c r="BD9" i="9" s="1"/>
  <c r="BA9" i="9"/>
  <c r="AZ9" i="9"/>
  <c r="AY9" i="9"/>
  <c r="AS9" i="9"/>
  <c r="AK9" i="9"/>
  <c r="X9" i="9"/>
  <c r="W9" i="9"/>
  <c r="AQ9" i="9" s="1"/>
  <c r="U9" i="9"/>
  <c r="AP9" i="9" s="1"/>
  <c r="R9" i="9"/>
  <c r="Q9" i="9"/>
  <c r="O9" i="9"/>
  <c r="AM9" i="9" s="1"/>
  <c r="M9" i="9"/>
  <c r="G9" i="9"/>
  <c r="BV9" i="9" s="1"/>
  <c r="BX9" i="9" s="1"/>
  <c r="F9" i="9"/>
  <c r="BU9" i="9" s="1"/>
  <c r="E9" i="9"/>
  <c r="BT9" i="9" s="1"/>
  <c r="D9" i="9"/>
  <c r="BS9" i="9" s="1"/>
  <c r="CW8" i="9"/>
  <c r="CU8" i="9"/>
  <c r="CT8" i="9"/>
  <c r="CV8" i="9" s="1"/>
  <c r="CQ8" i="9"/>
  <c r="CO8" i="9"/>
  <c r="CN8" i="9"/>
  <c r="CP8" i="9" s="1"/>
  <c r="CM8" i="9"/>
  <c r="CL8" i="9"/>
  <c r="CK8" i="9"/>
  <c r="CC8" i="9"/>
  <c r="CB8" i="9"/>
  <c r="BZ8" i="9"/>
  <c r="BY8" i="9"/>
  <c r="BO8" i="9"/>
  <c r="BM8" i="9"/>
  <c r="BL8" i="9"/>
  <c r="BK8" i="9"/>
  <c r="BI8" i="9"/>
  <c r="BH8" i="9"/>
  <c r="BE8" i="9"/>
  <c r="BC8" i="9"/>
  <c r="BB8" i="9"/>
  <c r="BD8" i="9" s="1"/>
  <c r="BA8" i="9"/>
  <c r="AZ8" i="9"/>
  <c r="AY8" i="9"/>
  <c r="AS8" i="9"/>
  <c r="AK8" i="9"/>
  <c r="X8" i="9"/>
  <c r="W8" i="9"/>
  <c r="AQ8" i="9" s="1"/>
  <c r="U8" i="9"/>
  <c r="AP8" i="9" s="1"/>
  <c r="R8" i="9"/>
  <c r="Q8" i="9"/>
  <c r="CR8" i="9" s="1"/>
  <c r="O8" i="9"/>
  <c r="AM8" i="9" s="1"/>
  <c r="M8" i="9"/>
  <c r="G8" i="9"/>
  <c r="BV8" i="9" s="1"/>
  <c r="BX8" i="9" s="1"/>
  <c r="F8" i="9"/>
  <c r="BU8" i="9" s="1"/>
  <c r="E8" i="9"/>
  <c r="BT8" i="9" s="1"/>
  <c r="D8" i="9"/>
  <c r="BS8" i="9" s="1"/>
  <c r="CW7" i="9"/>
  <c r="CU7" i="9"/>
  <c r="CT7" i="9"/>
  <c r="CV7" i="9" s="1"/>
  <c r="CQ7" i="9"/>
  <c r="CO7" i="9"/>
  <c r="CN7" i="9"/>
  <c r="CM7" i="9"/>
  <c r="CL7" i="9"/>
  <c r="CK7" i="9"/>
  <c r="CC7" i="9"/>
  <c r="CB7" i="9"/>
  <c r="CD7" i="9" s="1"/>
  <c r="BZ7" i="9"/>
  <c r="BY7" i="9"/>
  <c r="CA7" i="9" s="1"/>
  <c r="BO7" i="9"/>
  <c r="BM7" i="9"/>
  <c r="BL7" i="9"/>
  <c r="BK7" i="9"/>
  <c r="BI7" i="9"/>
  <c r="BH7" i="9"/>
  <c r="BJ7" i="9" s="1"/>
  <c r="BE7" i="9"/>
  <c r="BC7" i="9"/>
  <c r="BB7" i="9"/>
  <c r="BA7" i="9"/>
  <c r="AZ7" i="9"/>
  <c r="AY7" i="9"/>
  <c r="AS7" i="9"/>
  <c r="AM7" i="9"/>
  <c r="AK7" i="9"/>
  <c r="X7" i="9"/>
  <c r="W7" i="9"/>
  <c r="AQ7" i="9" s="1"/>
  <c r="U7" i="9"/>
  <c r="AP7" i="9" s="1"/>
  <c r="AR7" i="9" s="1"/>
  <c r="R7" i="9"/>
  <c r="Q7" i="9"/>
  <c r="S7" i="9" s="1"/>
  <c r="O7" i="9"/>
  <c r="M7" i="9"/>
  <c r="G7" i="9"/>
  <c r="BV7" i="9" s="1"/>
  <c r="BX7" i="9" s="1"/>
  <c r="F7" i="9"/>
  <c r="BU7" i="9" s="1"/>
  <c r="E7" i="9"/>
  <c r="BT7" i="9" s="1"/>
  <c r="D7" i="9"/>
  <c r="BS7" i="9" s="1"/>
  <c r="CH7" i="9" s="1"/>
  <c r="CW6" i="9"/>
  <c r="CU6" i="9"/>
  <c r="CT6" i="9"/>
  <c r="CR6" i="9"/>
  <c r="CQ6" i="9"/>
  <c r="CO6" i="9"/>
  <c r="CN6" i="9"/>
  <c r="CM6" i="9"/>
  <c r="CL6" i="9"/>
  <c r="CK6" i="9"/>
  <c r="CC6" i="9"/>
  <c r="CB6" i="9"/>
  <c r="CD6" i="9" s="1"/>
  <c r="BZ6" i="9"/>
  <c r="BY6" i="9"/>
  <c r="CA6" i="9" s="1"/>
  <c r="BO6" i="9"/>
  <c r="BM6" i="9"/>
  <c r="BL6" i="9"/>
  <c r="BK6" i="9"/>
  <c r="BI6" i="9"/>
  <c r="BH6" i="9"/>
  <c r="BJ6" i="9" s="1"/>
  <c r="BE6" i="9"/>
  <c r="BC6" i="9"/>
  <c r="BB6" i="9"/>
  <c r="BA6" i="9"/>
  <c r="AZ6" i="9"/>
  <c r="AY6" i="9"/>
  <c r="AS6" i="9"/>
  <c r="AN6" i="9"/>
  <c r="BF6" i="9" s="1"/>
  <c r="AK6" i="9"/>
  <c r="X6" i="9"/>
  <c r="W6" i="9"/>
  <c r="AQ6" i="9" s="1"/>
  <c r="U6" i="9"/>
  <c r="AP6" i="9" s="1"/>
  <c r="AR6" i="9" s="1"/>
  <c r="R6" i="9"/>
  <c r="Q6" i="9"/>
  <c r="O6" i="9"/>
  <c r="AM6" i="9" s="1"/>
  <c r="M6" i="9"/>
  <c r="G6" i="9"/>
  <c r="BV6" i="9" s="1"/>
  <c r="BX6" i="9" s="1"/>
  <c r="F6" i="9"/>
  <c r="BU6" i="9" s="1"/>
  <c r="E6" i="9"/>
  <c r="BT6" i="9" s="1"/>
  <c r="D6" i="9"/>
  <c r="BS6" i="9" s="1"/>
  <c r="CH6" i="9" s="1"/>
  <c r="CW5" i="9"/>
  <c r="CU5" i="9"/>
  <c r="CT5" i="9"/>
  <c r="CQ5" i="9"/>
  <c r="CO5" i="9"/>
  <c r="CN5" i="9"/>
  <c r="CP5" i="9" s="1"/>
  <c r="CM5" i="9"/>
  <c r="CL5" i="9"/>
  <c r="CK5" i="9"/>
  <c r="CC5" i="9"/>
  <c r="CB5" i="9"/>
  <c r="BZ5" i="9"/>
  <c r="BY5" i="9"/>
  <c r="BO5" i="9"/>
  <c r="BM5" i="9"/>
  <c r="BL5" i="9"/>
  <c r="BK5" i="9"/>
  <c r="BI5" i="9"/>
  <c r="BH5" i="9"/>
  <c r="BE5" i="9"/>
  <c r="BC5" i="9"/>
  <c r="BB5" i="9"/>
  <c r="BD5" i="9" s="1"/>
  <c r="BA5" i="9"/>
  <c r="AZ5" i="9"/>
  <c r="AY5" i="9"/>
  <c r="AS5" i="9"/>
  <c r="AS32" i="9" s="1"/>
  <c r="X5" i="9"/>
  <c r="W5" i="9"/>
  <c r="AQ5" i="9" s="1"/>
  <c r="U5" i="9"/>
  <c r="R5" i="9"/>
  <c r="Q5" i="9"/>
  <c r="O5" i="9"/>
  <c r="M5" i="9"/>
  <c r="G5" i="9"/>
  <c r="F5" i="9"/>
  <c r="BU5" i="9" s="1"/>
  <c r="E5" i="9"/>
  <c r="D5" i="9"/>
  <c r="H30" i="8"/>
  <c r="G30" i="8"/>
  <c r="F30" i="8"/>
  <c r="E30" i="8"/>
  <c r="D30" i="8"/>
  <c r="C30" i="8"/>
  <c r="I3" i="8"/>
  <c r="I30" i="8" s="1"/>
  <c r="I30" i="7"/>
  <c r="H30" i="7"/>
  <c r="G30" i="7"/>
  <c r="F30" i="7"/>
  <c r="E30" i="7"/>
  <c r="K30" i="7" s="1"/>
  <c r="D30" i="7"/>
  <c r="C30" i="7"/>
  <c r="M29" i="7"/>
  <c r="L29" i="7"/>
  <c r="K29" i="7"/>
  <c r="N29" i="7" s="1"/>
  <c r="J29" i="7"/>
  <c r="N28" i="7"/>
  <c r="M28" i="7"/>
  <c r="L28" i="7"/>
  <c r="K28" i="7"/>
  <c r="J28" i="7"/>
  <c r="M27" i="7"/>
  <c r="L27" i="7"/>
  <c r="K27" i="7"/>
  <c r="N27" i="7" s="1"/>
  <c r="J27" i="7"/>
  <c r="M26" i="7"/>
  <c r="L26" i="7"/>
  <c r="K26" i="7"/>
  <c r="N26" i="7" s="1"/>
  <c r="J26" i="7"/>
  <c r="M25" i="7"/>
  <c r="L25" i="7"/>
  <c r="K25" i="7"/>
  <c r="J25" i="7"/>
  <c r="N24" i="7"/>
  <c r="M24" i="7"/>
  <c r="L24" i="7"/>
  <c r="K24" i="7"/>
  <c r="J24" i="7"/>
  <c r="M23" i="7"/>
  <c r="L23" i="7"/>
  <c r="K23" i="7"/>
  <c r="J23" i="7"/>
  <c r="M22" i="7"/>
  <c r="L22" i="7"/>
  <c r="K22" i="7"/>
  <c r="N22" i="7" s="1"/>
  <c r="J22" i="7"/>
  <c r="M21" i="7"/>
  <c r="L21" i="7"/>
  <c r="K21" i="7"/>
  <c r="N21" i="7" s="1"/>
  <c r="J21" i="7"/>
  <c r="M20" i="7"/>
  <c r="L20" i="7"/>
  <c r="K20" i="7"/>
  <c r="N20" i="7" s="1"/>
  <c r="J20" i="7"/>
  <c r="M19" i="7"/>
  <c r="L19" i="7"/>
  <c r="K19" i="7"/>
  <c r="N19" i="7" s="1"/>
  <c r="J19" i="7"/>
  <c r="M18" i="7"/>
  <c r="L18" i="7"/>
  <c r="K18" i="7"/>
  <c r="N18" i="7" s="1"/>
  <c r="J18" i="7"/>
  <c r="M17" i="7"/>
  <c r="L17" i="7"/>
  <c r="K17" i="7"/>
  <c r="J17" i="7"/>
  <c r="N16" i="7"/>
  <c r="M16" i="7"/>
  <c r="L16" i="7"/>
  <c r="K16" i="7"/>
  <c r="J16" i="7"/>
  <c r="M15" i="7"/>
  <c r="L15" i="7"/>
  <c r="K15" i="7"/>
  <c r="J15" i="7"/>
  <c r="M14" i="7"/>
  <c r="L14" i="7"/>
  <c r="K14" i="7"/>
  <c r="N14" i="7" s="1"/>
  <c r="J14" i="7"/>
  <c r="M13" i="7"/>
  <c r="L13" i="7"/>
  <c r="K13" i="7"/>
  <c r="N13" i="7" s="1"/>
  <c r="J13" i="7"/>
  <c r="M12" i="7"/>
  <c r="L12" i="7"/>
  <c r="K12" i="7"/>
  <c r="N12" i="7" s="1"/>
  <c r="J12" i="7"/>
  <c r="M11" i="7"/>
  <c r="L11" i="7"/>
  <c r="K11" i="7"/>
  <c r="N11" i="7" s="1"/>
  <c r="J11" i="7"/>
  <c r="L10" i="7"/>
  <c r="K10" i="7"/>
  <c r="N10" i="7" s="1"/>
  <c r="J10" i="7"/>
  <c r="N9" i="7"/>
  <c r="M9" i="7"/>
  <c r="L9" i="7"/>
  <c r="K9" i="7"/>
  <c r="J9" i="7"/>
  <c r="M8" i="7"/>
  <c r="L8" i="7"/>
  <c r="K8" i="7"/>
  <c r="N8" i="7" s="1"/>
  <c r="J8" i="7"/>
  <c r="M7" i="7"/>
  <c r="L7" i="7"/>
  <c r="K7" i="7"/>
  <c r="N7" i="7" s="1"/>
  <c r="J7" i="7"/>
  <c r="M6" i="7"/>
  <c r="L6" i="7"/>
  <c r="K6" i="7"/>
  <c r="J6" i="7"/>
  <c r="N5" i="7"/>
  <c r="M5" i="7"/>
  <c r="L5" i="7"/>
  <c r="K5" i="7"/>
  <c r="J5" i="7"/>
  <c r="M4" i="7"/>
  <c r="L4" i="7"/>
  <c r="K4" i="7"/>
  <c r="J4" i="7"/>
  <c r="M3" i="7"/>
  <c r="L3" i="7"/>
  <c r="K3" i="7"/>
  <c r="N3" i="7" s="1"/>
  <c r="J3" i="7"/>
  <c r="L30" i="7" l="1"/>
  <c r="N4" i="7"/>
  <c r="N15" i="7"/>
  <c r="N23" i="7"/>
  <c r="D32" i="9"/>
  <c r="BS5" i="9"/>
  <c r="M32" i="9"/>
  <c r="U32" i="9"/>
  <c r="CC32" i="9"/>
  <c r="BG14" i="9"/>
  <c r="BN14" i="9" s="1"/>
  <c r="CS14" i="9"/>
  <c r="CZ14" i="9" s="1"/>
  <c r="DA14" i="9" s="1"/>
  <c r="CS8" i="9"/>
  <c r="CZ8" i="9" s="1"/>
  <c r="DA8" i="9" s="1"/>
  <c r="CR17" i="9"/>
  <c r="AN17" i="9"/>
  <c r="BF17" i="9" s="1"/>
  <c r="BG17" i="9" s="1"/>
  <c r="BN17" i="9" s="1"/>
  <c r="N17" i="7"/>
  <c r="N25" i="7"/>
  <c r="BL32" i="9"/>
  <c r="CH10" i="9"/>
  <c r="AN10" i="9"/>
  <c r="BF10" i="9" s="1"/>
  <c r="CH11" i="9"/>
  <c r="CR29" i="9"/>
  <c r="AN29" i="9"/>
  <c r="BF29" i="9" s="1"/>
  <c r="BG29" i="9" s="1"/>
  <c r="BN29" i="9" s="1"/>
  <c r="N6" i="7"/>
  <c r="M30" i="7"/>
  <c r="N30" i="7" s="1"/>
  <c r="F32" i="9"/>
  <c r="Q32" i="9"/>
  <c r="X32" i="9"/>
  <c r="BZ32" i="9"/>
  <c r="CL32" i="9"/>
  <c r="CQ32" i="9"/>
  <c r="BS16" i="9"/>
  <c r="CH16" i="9" s="1"/>
  <c r="AG16" i="9"/>
  <c r="J30" i="7"/>
  <c r="G32" i="9"/>
  <c r="R32" i="9"/>
  <c r="BJ5" i="9"/>
  <c r="BM32" i="9"/>
  <c r="BY32" i="9"/>
  <c r="CW32" i="9"/>
  <c r="AK32" i="9"/>
  <c r="CS6" i="9"/>
  <c r="AN8" i="9"/>
  <c r="BF8" i="9" s="1"/>
  <c r="BG8" i="9" s="1"/>
  <c r="BN8" i="9" s="1"/>
  <c r="BJ8" i="9"/>
  <c r="CD8" i="9"/>
  <c r="BJ9" i="9"/>
  <c r="CD9" i="9"/>
  <c r="CH9" i="9" s="1"/>
  <c r="CV9" i="9"/>
  <c r="AO10" i="9"/>
  <c r="BD10" i="9"/>
  <c r="CP10" i="9"/>
  <c r="CZ10" i="9" s="1"/>
  <c r="DA10" i="9" s="1"/>
  <c r="CV10" i="9"/>
  <c r="BD11" i="9"/>
  <c r="CP11" i="9"/>
  <c r="CA12" i="9"/>
  <c r="CH12" i="9" s="1"/>
  <c r="AN14" i="9"/>
  <c r="BF14" i="9" s="1"/>
  <c r="BJ14" i="9"/>
  <c r="CD14" i="9"/>
  <c r="BJ15" i="9"/>
  <c r="BJ32" i="9" s="1"/>
  <c r="CD15" i="9"/>
  <c r="CV15" i="9"/>
  <c r="BJ16" i="9"/>
  <c r="CA16" i="9"/>
  <c r="BJ18" i="9"/>
  <c r="CD18" i="9"/>
  <c r="CV18" i="9"/>
  <c r="AO19" i="9"/>
  <c r="BD19" i="9"/>
  <c r="CP19" i="9"/>
  <c r="BD20" i="9"/>
  <c r="CP20" i="9"/>
  <c r="CZ20" i="9" s="1"/>
  <c r="DA20" i="9" s="1"/>
  <c r="CA21" i="9"/>
  <c r="S22" i="9"/>
  <c r="CA22" i="9"/>
  <c r="AP23" i="9"/>
  <c r="AR23" i="9" s="1"/>
  <c r="BJ24" i="9"/>
  <c r="CD24" i="9"/>
  <c r="CV24" i="9"/>
  <c r="AO25" i="9"/>
  <c r="BD25" i="9"/>
  <c r="CP25" i="9"/>
  <c r="CV25" i="9"/>
  <c r="BD26" i="9"/>
  <c r="CP26" i="9"/>
  <c r="CA27" i="9"/>
  <c r="S28" i="9"/>
  <c r="CA28" i="9"/>
  <c r="CH28" i="9" s="1"/>
  <c r="CS29" i="9"/>
  <c r="CD30" i="9"/>
  <c r="CV30" i="9"/>
  <c r="BJ31" i="9"/>
  <c r="CA31" i="9"/>
  <c r="CH31" i="9" s="1"/>
  <c r="BH32" i="9"/>
  <c r="CH17" i="9"/>
  <c r="CZ21" i="9"/>
  <c r="DA21" i="9" s="1"/>
  <c r="CH23" i="9"/>
  <c r="BN27" i="9"/>
  <c r="CZ27" i="9"/>
  <c r="DA27" i="9" s="1"/>
  <c r="CH29" i="9"/>
  <c r="CH30" i="9"/>
  <c r="E32" i="9"/>
  <c r="O32" i="9"/>
  <c r="W32" i="9"/>
  <c r="CB32" i="9"/>
  <c r="CM32" i="9"/>
  <c r="CV5" i="9"/>
  <c r="AO6" i="9"/>
  <c r="BD6" i="9"/>
  <c r="CP6" i="9"/>
  <c r="CP32" i="9" s="1"/>
  <c r="CV6" i="9"/>
  <c r="BD7" i="9"/>
  <c r="CP7" i="9"/>
  <c r="CA8" i="9"/>
  <c r="S9" i="9"/>
  <c r="CA9" i="9"/>
  <c r="CS10" i="9"/>
  <c r="BJ12" i="9"/>
  <c r="BN12" i="9" s="1"/>
  <c r="CD12" i="9"/>
  <c r="BD13" i="9"/>
  <c r="CP13" i="9"/>
  <c r="CZ13" i="9" s="1"/>
  <c r="DA13" i="9" s="1"/>
  <c r="CA14" i="9"/>
  <c r="S15" i="9"/>
  <c r="CA15" i="9"/>
  <c r="CD16" i="9"/>
  <c r="CV16" i="9"/>
  <c r="BD17" i="9"/>
  <c r="CP17" i="9"/>
  <c r="S18" i="9"/>
  <c r="CA18" i="9"/>
  <c r="CH18" i="9" s="1"/>
  <c r="CH20" i="9"/>
  <c r="BJ21" i="9"/>
  <c r="BN21" i="9" s="1"/>
  <c r="CD21" i="9"/>
  <c r="BJ22" i="9"/>
  <c r="CD22" i="9"/>
  <c r="CV22" i="9"/>
  <c r="CV32" i="9" s="1"/>
  <c r="BD23" i="9"/>
  <c r="CP23" i="9"/>
  <c r="S24" i="9"/>
  <c r="CA24" i="9"/>
  <c r="CH24" i="9" s="1"/>
  <c r="CS25" i="9"/>
  <c r="CZ25" i="9" s="1"/>
  <c r="DA25" i="9" s="1"/>
  <c r="BJ27" i="9"/>
  <c r="CD27" i="9"/>
  <c r="CH27" i="9" s="1"/>
  <c r="BJ28" i="9"/>
  <c r="CD28" i="9"/>
  <c r="CV28" i="9"/>
  <c r="AO29" i="9"/>
  <c r="BD29" i="9"/>
  <c r="CP29" i="9"/>
  <c r="CZ29" i="9" s="1"/>
  <c r="DA29" i="9" s="1"/>
  <c r="CV29" i="9"/>
  <c r="BJ30" i="9"/>
  <c r="CA30" i="9"/>
  <c r="CD31" i="9"/>
  <c r="CV31" i="9"/>
  <c r="J34" i="9"/>
  <c r="BG6" i="9"/>
  <c r="BN6" i="9" s="1"/>
  <c r="CH8" i="9"/>
  <c r="AR8" i="9"/>
  <c r="AR9" i="9"/>
  <c r="BG10" i="9"/>
  <c r="BN10" i="9" s="1"/>
  <c r="AR12" i="9"/>
  <c r="CH13" i="9"/>
  <c r="CS13" i="9"/>
  <c r="CH14" i="9"/>
  <c r="AR14" i="9"/>
  <c r="CH15" i="9"/>
  <c r="AR15" i="9"/>
  <c r="AR16" i="9"/>
  <c r="CS17" i="9"/>
  <c r="CZ17" i="9" s="1"/>
  <c r="DA17" i="9" s="1"/>
  <c r="AR18" i="9"/>
  <c r="AR13" i="9"/>
  <c r="BS19" i="9"/>
  <c r="AG19" i="9"/>
  <c r="BU19" i="9"/>
  <c r="AI19" i="9"/>
  <c r="AQ19" i="9"/>
  <c r="AR19" i="9" s="1"/>
  <c r="Y19" i="9"/>
  <c r="CR20" i="9"/>
  <c r="AN20" i="9"/>
  <c r="AQ32" i="9"/>
  <c r="S5" i="9"/>
  <c r="Y5" i="9"/>
  <c r="AG5" i="9"/>
  <c r="AI5" i="9"/>
  <c r="AN5" i="9"/>
  <c r="AP5" i="9"/>
  <c r="BT5" i="9"/>
  <c r="BT32" i="9" s="1"/>
  <c r="BV5" i="9"/>
  <c r="CA5" i="9"/>
  <c r="CR5" i="9"/>
  <c r="CS5" i="9" s="1"/>
  <c r="CZ5" i="9" s="1"/>
  <c r="DA5" i="9" s="1"/>
  <c r="S6" i="9"/>
  <c r="Y6" i="9"/>
  <c r="AG6" i="9"/>
  <c r="AI6" i="9"/>
  <c r="AH7" i="9"/>
  <c r="AJ7" i="9"/>
  <c r="AL7" i="9" s="1"/>
  <c r="AN7" i="9"/>
  <c r="BF7" i="9" s="1"/>
  <c r="BG7" i="9" s="1"/>
  <c r="BN7" i="9" s="1"/>
  <c r="CR7" i="9"/>
  <c r="CS7" i="9" s="1"/>
  <c r="CZ7" i="9" s="1"/>
  <c r="DA7" i="9" s="1"/>
  <c r="S8" i="9"/>
  <c r="Y8" i="9"/>
  <c r="AG8" i="9"/>
  <c r="AI8" i="9"/>
  <c r="AH9" i="9"/>
  <c r="AJ9" i="9"/>
  <c r="AL9" i="9" s="1"/>
  <c r="AN9" i="9"/>
  <c r="BF9" i="9" s="1"/>
  <c r="BG9" i="9" s="1"/>
  <c r="BN9" i="9" s="1"/>
  <c r="CR9" i="9"/>
  <c r="CS9" i="9" s="1"/>
  <c r="CZ9" i="9" s="1"/>
  <c r="DA9" i="9" s="1"/>
  <c r="S10" i="9"/>
  <c r="Y10" i="9"/>
  <c r="AG10" i="9"/>
  <c r="AI10" i="9"/>
  <c r="AH11" i="9"/>
  <c r="AJ11" i="9"/>
  <c r="AL11" i="9" s="1"/>
  <c r="AN11" i="9"/>
  <c r="BF11" i="9" s="1"/>
  <c r="BG11" i="9" s="1"/>
  <c r="BN11" i="9" s="1"/>
  <c r="CR11" i="9"/>
  <c r="CS11" i="9" s="1"/>
  <c r="CZ11" i="9" s="1"/>
  <c r="DA11" i="9" s="1"/>
  <c r="S12" i="9"/>
  <c r="Y12" i="9"/>
  <c r="AG12" i="9"/>
  <c r="AI12" i="9"/>
  <c r="S13" i="9"/>
  <c r="AH13" i="9"/>
  <c r="AJ13" i="9"/>
  <c r="AL13" i="9" s="1"/>
  <c r="AN13" i="9"/>
  <c r="BF13" i="9" s="1"/>
  <c r="BG13" i="9" s="1"/>
  <c r="BN13" i="9" s="1"/>
  <c r="S14" i="9"/>
  <c r="Y14" i="9"/>
  <c r="AG14" i="9"/>
  <c r="AI14" i="9"/>
  <c r="AH15" i="9"/>
  <c r="AJ15" i="9"/>
  <c r="AL15" i="9" s="1"/>
  <c r="AN15" i="9"/>
  <c r="BF15" i="9" s="1"/>
  <c r="BG15" i="9" s="1"/>
  <c r="CR15" i="9"/>
  <c r="CS15" i="9" s="1"/>
  <c r="CZ15" i="9" s="1"/>
  <c r="DA15" i="9" s="1"/>
  <c r="AH16" i="9"/>
  <c r="AJ16" i="9"/>
  <c r="AL16" i="9" s="1"/>
  <c r="AN16" i="9"/>
  <c r="BF16" i="9" s="1"/>
  <c r="BG16" i="9" s="1"/>
  <c r="BN16" i="9" s="1"/>
  <c r="CR16" i="9"/>
  <c r="CS16" i="9" s="1"/>
  <c r="CZ16" i="9" s="1"/>
  <c r="DA16" i="9" s="1"/>
  <c r="S17" i="9"/>
  <c r="Y17" i="9"/>
  <c r="AG17" i="9"/>
  <c r="AI17" i="9"/>
  <c r="AH18" i="9"/>
  <c r="AJ18" i="9"/>
  <c r="AL18" i="9" s="1"/>
  <c r="AN18" i="9"/>
  <c r="BF18" i="9" s="1"/>
  <c r="BG18" i="9" s="1"/>
  <c r="BN18" i="9" s="1"/>
  <c r="CR18" i="9"/>
  <c r="CS18" i="9" s="1"/>
  <c r="CZ18" i="9" s="1"/>
  <c r="DA18" i="9" s="1"/>
  <c r="S19" i="9"/>
  <c r="AC19" i="9" s="1"/>
  <c r="AJ19" i="9"/>
  <c r="AL19" i="9" s="1"/>
  <c r="BG19" i="9"/>
  <c r="BN19" i="9" s="1"/>
  <c r="CD19" i="9"/>
  <c r="S20" i="9"/>
  <c r="Y20" i="9"/>
  <c r="AI20" i="9"/>
  <c r="CS20" i="9"/>
  <c r="CH21" i="9"/>
  <c r="AR21" i="9"/>
  <c r="CH22" i="9"/>
  <c r="AR22" i="9"/>
  <c r="CS23" i="9"/>
  <c r="CZ23" i="9" s="1"/>
  <c r="DA23" i="9" s="1"/>
  <c r="AR24" i="9"/>
  <c r="BG25" i="9"/>
  <c r="BN25" i="9" s="1"/>
  <c r="AR27" i="9"/>
  <c r="AR28" i="9"/>
  <c r="AR30" i="9"/>
  <c r="AR31" i="9"/>
  <c r="AH5" i="9"/>
  <c r="AJ5" i="9"/>
  <c r="AM5" i="9"/>
  <c r="BU32" i="9"/>
  <c r="CD5" i="9"/>
  <c r="AH6" i="9"/>
  <c r="AJ6" i="9"/>
  <c r="AL6" i="9" s="1"/>
  <c r="Y7" i="9"/>
  <c r="AC7" i="9" s="1"/>
  <c r="AG7" i="9"/>
  <c r="AI7" i="9"/>
  <c r="AH8" i="9"/>
  <c r="BP8" i="9" s="1"/>
  <c r="AJ8" i="9"/>
  <c r="AL8" i="9" s="1"/>
  <c r="Y9" i="9"/>
  <c r="AC9" i="9" s="1"/>
  <c r="AG9" i="9"/>
  <c r="AI9" i="9"/>
  <c r="AH10" i="9"/>
  <c r="AJ10" i="9"/>
  <c r="AL10" i="9" s="1"/>
  <c r="Y11" i="9"/>
  <c r="AC11" i="9" s="1"/>
  <c r="AG11" i="9"/>
  <c r="AI11" i="9"/>
  <c r="AH12" i="9"/>
  <c r="AJ12" i="9"/>
  <c r="AL12" i="9" s="1"/>
  <c r="Y13" i="9"/>
  <c r="AG13" i="9"/>
  <c r="AI13" i="9"/>
  <c r="AH14" i="9"/>
  <c r="AJ14" i="9"/>
  <c r="AL14" i="9" s="1"/>
  <c r="Y15" i="9"/>
  <c r="AC15" i="9" s="1"/>
  <c r="AG15" i="9"/>
  <c r="AI15" i="9"/>
  <c r="Y16" i="9"/>
  <c r="AC16" i="9" s="1"/>
  <c r="AH17" i="9"/>
  <c r="AJ17" i="9"/>
  <c r="AL17" i="9" s="1"/>
  <c r="Y18" i="9"/>
  <c r="AC18" i="9" s="1"/>
  <c r="AG18" i="9"/>
  <c r="AI18" i="9"/>
  <c r="AH19" i="9"/>
  <c r="BP19" i="9" s="1"/>
  <c r="CS19" i="9"/>
  <c r="CZ19" i="9" s="1"/>
  <c r="DA19" i="9" s="1"/>
  <c r="AR20" i="9"/>
  <c r="CS30" i="9"/>
  <c r="CZ30" i="9" s="1"/>
  <c r="DA30" i="9" s="1"/>
  <c r="CZ31" i="9"/>
  <c r="DA31" i="9" s="1"/>
  <c r="CS31" i="9"/>
  <c r="AH20" i="9"/>
  <c r="AJ20" i="9"/>
  <c r="AL20" i="9" s="1"/>
  <c r="S21" i="9"/>
  <c r="Y21" i="9"/>
  <c r="AG21" i="9"/>
  <c r="AI21" i="9"/>
  <c r="AH22" i="9"/>
  <c r="AJ22" i="9"/>
  <c r="AL22" i="9" s="1"/>
  <c r="AN22" i="9"/>
  <c r="BF22" i="9" s="1"/>
  <c r="BG22" i="9" s="1"/>
  <c r="BN22" i="9" s="1"/>
  <c r="CR22" i="9"/>
  <c r="CS22" i="9" s="1"/>
  <c r="AG23" i="9"/>
  <c r="AI23" i="9"/>
  <c r="AH24" i="9"/>
  <c r="AJ24" i="9"/>
  <c r="AL24" i="9" s="1"/>
  <c r="AN24" i="9"/>
  <c r="BF24" i="9" s="1"/>
  <c r="BG24" i="9" s="1"/>
  <c r="BN24" i="9" s="1"/>
  <c r="CR24" i="9"/>
  <c r="CS24" i="9" s="1"/>
  <c r="CZ24" i="9" s="1"/>
  <c r="DA24" i="9" s="1"/>
  <c r="S25" i="9"/>
  <c r="Y25" i="9"/>
  <c r="AG25" i="9"/>
  <c r="AI25" i="9"/>
  <c r="AH26" i="9"/>
  <c r="AJ26" i="9"/>
  <c r="AL26" i="9" s="1"/>
  <c r="AN26" i="9"/>
  <c r="BF26" i="9" s="1"/>
  <c r="BG26" i="9" s="1"/>
  <c r="BN26" i="9" s="1"/>
  <c r="CR26" i="9"/>
  <c r="CS26" i="9" s="1"/>
  <c r="CZ26" i="9" s="1"/>
  <c r="DA26" i="9" s="1"/>
  <c r="S27" i="9"/>
  <c r="Y27" i="9"/>
  <c r="AG27" i="9"/>
  <c r="AI27" i="9"/>
  <c r="AH28" i="9"/>
  <c r="AJ28" i="9"/>
  <c r="AL28" i="9" s="1"/>
  <c r="AN28" i="9"/>
  <c r="BF28" i="9" s="1"/>
  <c r="BG28" i="9" s="1"/>
  <c r="BN28" i="9" s="1"/>
  <c r="CR28" i="9"/>
  <c r="CS28" i="9" s="1"/>
  <c r="CZ28" i="9" s="1"/>
  <c r="DA28" i="9" s="1"/>
  <c r="S29" i="9"/>
  <c r="Y29" i="9"/>
  <c r="AG29" i="9"/>
  <c r="AI29" i="9"/>
  <c r="Y30" i="9"/>
  <c r="AG30" i="9"/>
  <c r="AI30" i="9"/>
  <c r="BP30" i="9" s="1"/>
  <c r="Y31" i="9"/>
  <c r="AG31" i="9"/>
  <c r="AI31" i="9"/>
  <c r="BP31" i="9" s="1"/>
  <c r="AY32" i="9"/>
  <c r="BC32" i="9"/>
  <c r="BI32" i="9"/>
  <c r="CK32" i="9"/>
  <c r="L34" i="9"/>
  <c r="AH21" i="9"/>
  <c r="AJ21" i="9"/>
  <c r="AL21" i="9" s="1"/>
  <c r="Y22" i="9"/>
  <c r="AC22" i="9" s="1"/>
  <c r="AG22" i="9"/>
  <c r="AI22" i="9"/>
  <c r="S23" i="9"/>
  <c r="AC23" i="9" s="1"/>
  <c r="AH23" i="9"/>
  <c r="AJ23" i="9"/>
  <c r="AL23" i="9" s="1"/>
  <c r="AN23" i="9"/>
  <c r="BF23" i="9" s="1"/>
  <c r="BG23" i="9" s="1"/>
  <c r="BN23" i="9" s="1"/>
  <c r="Y24" i="9"/>
  <c r="AC24" i="9" s="1"/>
  <c r="AG24" i="9"/>
  <c r="AI24" i="9"/>
  <c r="AH25" i="9"/>
  <c r="AJ25" i="9"/>
  <c r="AL25" i="9" s="1"/>
  <c r="Y26" i="9"/>
  <c r="AC26" i="9" s="1"/>
  <c r="AG26" i="9"/>
  <c r="AI26" i="9"/>
  <c r="AH27" i="9"/>
  <c r="AJ27" i="9"/>
  <c r="AL27" i="9" s="1"/>
  <c r="Y28" i="9"/>
  <c r="AC28" i="9" s="1"/>
  <c r="AG28" i="9"/>
  <c r="AI28" i="9"/>
  <c r="AH29" i="9"/>
  <c r="AJ29" i="9"/>
  <c r="AL29" i="9" s="1"/>
  <c r="S30" i="9"/>
  <c r="AC30" i="9" s="1"/>
  <c r="AN30" i="9"/>
  <c r="BF30" i="9" s="1"/>
  <c r="BG30" i="9" s="1"/>
  <c r="S31" i="9"/>
  <c r="AC31" i="9" s="1"/>
  <c r="AN31" i="9"/>
  <c r="BF31" i="9" s="1"/>
  <c r="BG31" i="9" s="1"/>
  <c r="BN31" i="9" s="1"/>
  <c r="BB32" i="9"/>
  <c r="BD32" i="9" s="1"/>
  <c r="CZ22" i="9" l="1"/>
  <c r="DA22" i="9" s="1"/>
  <c r="BS32" i="9"/>
  <c r="BS35" i="9" s="1"/>
  <c r="BN15" i="9"/>
  <c r="CA32" i="9"/>
  <c r="AO8" i="9"/>
  <c r="BP29" i="9"/>
  <c r="BP23" i="9"/>
  <c r="BP12" i="9"/>
  <c r="AO17" i="9"/>
  <c r="CZ6" i="9"/>
  <c r="DA6" i="9" s="1"/>
  <c r="AO14" i="9"/>
  <c r="BN30" i="9"/>
  <c r="BP25" i="9"/>
  <c r="BP21" i="9"/>
  <c r="CD32" i="9"/>
  <c r="AC20" i="9"/>
  <c r="AC13" i="9"/>
  <c r="AJ32" i="9"/>
  <c r="AL5" i="9"/>
  <c r="AL32" i="9" s="1"/>
  <c r="AN32" i="9"/>
  <c r="BF32" i="9" s="1"/>
  <c r="BG32" i="9" s="1"/>
  <c r="BF5" i="9"/>
  <c r="BG5" i="9" s="1"/>
  <c r="BN5" i="9" s="1"/>
  <c r="AG32" i="9"/>
  <c r="S32" i="9"/>
  <c r="AC5" i="9"/>
  <c r="BF20" i="9"/>
  <c r="BG20" i="9" s="1"/>
  <c r="BN20" i="9" s="1"/>
  <c r="AO20" i="9"/>
  <c r="BP27" i="9"/>
  <c r="AV29" i="9"/>
  <c r="AC29" i="9"/>
  <c r="BP28" i="9"/>
  <c r="AV27" i="9"/>
  <c r="AC27" i="9"/>
  <c r="BP26" i="9"/>
  <c r="AV25" i="9"/>
  <c r="AC25" i="9"/>
  <c r="BP24" i="9"/>
  <c r="BP22" i="9"/>
  <c r="AV21" i="9"/>
  <c r="AC21" i="9"/>
  <c r="BP20" i="9"/>
  <c r="AO26" i="9"/>
  <c r="AV26" i="9" s="1"/>
  <c r="AO23" i="9"/>
  <c r="AV23" i="9" s="1"/>
  <c r="AV20" i="9"/>
  <c r="BP17" i="9"/>
  <c r="BP14" i="9"/>
  <c r="BP10" i="9"/>
  <c r="BP6" i="9"/>
  <c r="AO31" i="9"/>
  <c r="AV31" i="9" s="1"/>
  <c r="AO30" i="9"/>
  <c r="BP18" i="9"/>
  <c r="AV17" i="9"/>
  <c r="AC17" i="9"/>
  <c r="BP16" i="9"/>
  <c r="BP15" i="9"/>
  <c r="AV14" i="9"/>
  <c r="AC14" i="9"/>
  <c r="AV12" i="9"/>
  <c r="AC12" i="9"/>
  <c r="BP11" i="9"/>
  <c r="AV10" i="9"/>
  <c r="AC10" i="9"/>
  <c r="BP9" i="9"/>
  <c r="AV8" i="9"/>
  <c r="AC8" i="9"/>
  <c r="BP7" i="9"/>
  <c r="AV6" i="9"/>
  <c r="AC6" i="9"/>
  <c r="BU34" i="9"/>
  <c r="AV19" i="9"/>
  <c r="AO16" i="9"/>
  <c r="AV16" i="9" s="1"/>
  <c r="AO15" i="9"/>
  <c r="AV15" i="9" s="1"/>
  <c r="AO13" i="9"/>
  <c r="AV13" i="9" s="1"/>
  <c r="CA35" i="9"/>
  <c r="Q34" i="9"/>
  <c r="BX35" i="9"/>
  <c r="AM32" i="9"/>
  <c r="AO5" i="9"/>
  <c r="AH32" i="9"/>
  <c r="BP5" i="9"/>
  <c r="BV32" i="9"/>
  <c r="BX5" i="9"/>
  <c r="BX32" i="9" s="1"/>
  <c r="AP32" i="9"/>
  <c r="AR5" i="9"/>
  <c r="AR32" i="9" s="1"/>
  <c r="AV30" i="9"/>
  <c r="CS32" i="9"/>
  <c r="CZ32" i="9" s="1"/>
  <c r="AO28" i="9"/>
  <c r="AV28" i="9" s="1"/>
  <c r="AO24" i="9"/>
  <c r="AV24" i="9" s="1"/>
  <c r="AO22" i="9"/>
  <c r="AV22" i="9" s="1"/>
  <c r="BP13" i="9"/>
  <c r="CR32" i="9"/>
  <c r="AI32" i="9"/>
  <c r="Y32" i="9"/>
  <c r="CH19" i="9"/>
  <c r="AO11" i="9"/>
  <c r="AV11" i="9" s="1"/>
  <c r="AO7" i="9"/>
  <c r="AV7" i="9" s="1"/>
  <c r="AO18" i="9"/>
  <c r="AV18" i="9" s="1"/>
  <c r="AO9" i="9"/>
  <c r="AV9" i="9" s="1"/>
  <c r="CH5" i="9"/>
  <c r="CH32" i="9" s="1"/>
  <c r="DA32" i="9" l="1"/>
  <c r="AC32" i="9"/>
  <c r="AL35" i="9"/>
  <c r="AL37" i="9" s="1"/>
  <c r="CH35" i="9"/>
  <c r="CH37" i="9" s="1"/>
  <c r="CE34" i="9"/>
  <c r="CG34" i="9"/>
  <c r="CG35" i="9"/>
  <c r="AO32" i="9"/>
  <c r="AV5" i="9"/>
  <c r="AV32" i="9" s="1"/>
  <c r="BN32" i="9"/>
  <c r="J33" i="6"/>
  <c r="I33" i="6"/>
  <c r="H33" i="6"/>
  <c r="G33" i="6"/>
  <c r="F33" i="6"/>
  <c r="E33" i="6"/>
  <c r="D33" i="6"/>
  <c r="C33" i="6"/>
  <c r="N32" i="6"/>
  <c r="M32" i="6"/>
  <c r="L32" i="6"/>
  <c r="K32" i="6"/>
  <c r="N31" i="6"/>
  <c r="M31" i="6"/>
  <c r="L31" i="6"/>
  <c r="K31" i="6"/>
  <c r="N30" i="6"/>
  <c r="M30" i="6"/>
  <c r="L30" i="6"/>
  <c r="K30" i="6"/>
  <c r="N29" i="6"/>
  <c r="M29" i="6"/>
  <c r="L29" i="6"/>
  <c r="K29" i="6"/>
  <c r="N28" i="6"/>
  <c r="M28" i="6"/>
  <c r="L28" i="6"/>
  <c r="K28" i="6"/>
  <c r="N27" i="6"/>
  <c r="M27" i="6"/>
  <c r="L27" i="6"/>
  <c r="K27" i="6"/>
  <c r="N26" i="6"/>
  <c r="M26" i="6"/>
  <c r="L26" i="6"/>
  <c r="K26" i="6"/>
  <c r="N25" i="6"/>
  <c r="M25" i="6"/>
  <c r="L25" i="6"/>
  <c r="K25" i="6"/>
  <c r="N24" i="6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N9" i="6"/>
  <c r="M9" i="6"/>
  <c r="L9" i="6"/>
  <c r="K9" i="6"/>
  <c r="N8" i="6"/>
  <c r="M8" i="6"/>
  <c r="L8" i="6"/>
  <c r="K8" i="6"/>
  <c r="N7" i="6"/>
  <c r="M7" i="6"/>
  <c r="L7" i="6"/>
  <c r="K7" i="6"/>
  <c r="N6" i="6"/>
  <c r="N33" i="6" s="1"/>
  <c r="M6" i="6"/>
  <c r="M33" i="6" s="1"/>
  <c r="L6" i="6"/>
  <c r="L33" i="6" s="1"/>
  <c r="K6" i="6"/>
  <c r="K33" i="6" s="1"/>
  <c r="J33" i="5"/>
  <c r="I33" i="5"/>
  <c r="H33" i="5"/>
  <c r="G33" i="5"/>
  <c r="F33" i="5"/>
  <c r="E33" i="5"/>
  <c r="D33" i="5"/>
  <c r="C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N33" i="5" s="1"/>
  <c r="M6" i="5"/>
  <c r="M33" i="5" s="1"/>
  <c r="L6" i="5"/>
  <c r="L33" i="5" s="1"/>
  <c r="K6" i="5"/>
  <c r="K33" i="5" s="1"/>
  <c r="V31" i="1"/>
  <c r="U31" i="1"/>
  <c r="N31" i="1"/>
  <c r="M31" i="1"/>
  <c r="K31" i="1"/>
  <c r="O31" i="1" l="1"/>
  <c r="S31" i="1"/>
  <c r="L31" i="1"/>
  <c r="AU37" i="9"/>
  <c r="AU38" i="9" s="1"/>
  <c r="AS34" i="9"/>
  <c r="AG34" i="9" s="1"/>
  <c r="AV35" i="9"/>
  <c r="AV37" i="9" s="1"/>
  <c r="W31" i="1"/>
  <c r="Y31" i="1" l="1"/>
  <c r="X31" i="1" s="1"/>
  <c r="D31" i="1"/>
  <c r="C31" i="1" l="1"/>
</calcChain>
</file>

<file path=xl/comments1.xml><?xml version="1.0" encoding="utf-8"?>
<comments xmlns="http://schemas.openxmlformats.org/spreadsheetml/2006/main">
  <authors>
    <author>Author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تعداد جوجه تولیدی به ازا هر قطعه مولد با توجه به سنتی بودن پرورش 6 قطعه جوجه پرواری در سال در نظر گرفته شده است چون حدود 40% انان فعال می باشند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تعداد جوجه تولیدی به ازا هر قطعه مولد با توجه به سنتی بودن پرورش 6 قطعه جوجه پرواری در سال در نظر گرفته شده است چون حدود 40% انان فعال می باشند</t>
        </r>
      </text>
    </comment>
  </commentList>
</comments>
</file>

<file path=xl/sharedStrings.xml><?xml version="1.0" encoding="utf-8"?>
<sst xmlns="http://schemas.openxmlformats.org/spreadsheetml/2006/main" count="761" uniqueCount="173">
  <si>
    <t>برآورد آمار دامي استان خوزستان                              1395</t>
  </si>
  <si>
    <t>نام شهرستان</t>
  </si>
  <si>
    <t>درصدواحددامي</t>
  </si>
  <si>
    <t>واحددامي</t>
  </si>
  <si>
    <t>گوسفند</t>
  </si>
  <si>
    <t>جمع</t>
  </si>
  <si>
    <t>بز</t>
  </si>
  <si>
    <t xml:space="preserve">جمع </t>
  </si>
  <si>
    <t>گاوبومي</t>
  </si>
  <si>
    <t>گاودورگ</t>
  </si>
  <si>
    <t>گاواصيل</t>
  </si>
  <si>
    <t>گاوميش</t>
  </si>
  <si>
    <t>شتر</t>
  </si>
  <si>
    <t>تك سمي</t>
  </si>
  <si>
    <t>طيور بومی</t>
  </si>
  <si>
    <t>ردیف</t>
  </si>
  <si>
    <t>از استان</t>
  </si>
  <si>
    <t>ثابت</t>
  </si>
  <si>
    <t>سيار</t>
  </si>
  <si>
    <t>دام سبک</t>
  </si>
  <si>
    <t>درصد دام سبک</t>
  </si>
  <si>
    <t>گاوبومی</t>
  </si>
  <si>
    <t>کل گاوها</t>
  </si>
  <si>
    <t>تک سمی</t>
  </si>
  <si>
    <t>درصد دام سنگین</t>
  </si>
  <si>
    <t>دام سنگین</t>
  </si>
  <si>
    <t>طیور</t>
  </si>
  <si>
    <t>آبادان</t>
  </si>
  <si>
    <t>آغا جری</t>
  </si>
  <si>
    <t>اميديه</t>
  </si>
  <si>
    <t>اندیکا</t>
  </si>
  <si>
    <t>انديمشك</t>
  </si>
  <si>
    <t>اهواز</t>
  </si>
  <si>
    <t>ایذه</t>
  </si>
  <si>
    <t>باغملك</t>
  </si>
  <si>
    <t xml:space="preserve">باوی </t>
  </si>
  <si>
    <t>بهبهان</t>
  </si>
  <si>
    <t>ماهشهر</t>
  </si>
  <si>
    <t>حمیدیه</t>
  </si>
  <si>
    <t>خرمشهر</t>
  </si>
  <si>
    <t>دزفول</t>
  </si>
  <si>
    <t>دشت آزادگان</t>
  </si>
  <si>
    <t>رامشير</t>
  </si>
  <si>
    <t>رامهرمز</t>
  </si>
  <si>
    <t>شادگان</t>
  </si>
  <si>
    <t>شوش</t>
  </si>
  <si>
    <t>شوشتر</t>
  </si>
  <si>
    <t>کارون</t>
  </si>
  <si>
    <t>گتوند</t>
  </si>
  <si>
    <t>لالي</t>
  </si>
  <si>
    <t>مسجدسليمان</t>
  </si>
  <si>
    <t>هفتكل</t>
  </si>
  <si>
    <t>هنديجان</t>
  </si>
  <si>
    <t>هویزه</t>
  </si>
  <si>
    <t>ارقام : راس - نفر</t>
  </si>
  <si>
    <t>نام استان</t>
  </si>
  <si>
    <t>گوسفند و بره</t>
  </si>
  <si>
    <t>بز و بزغاله</t>
  </si>
  <si>
    <t>گاو</t>
  </si>
  <si>
    <t xml:space="preserve">گاوميش </t>
  </si>
  <si>
    <t>تک سمیان</t>
  </si>
  <si>
    <t>اصيل</t>
  </si>
  <si>
    <t>آمیخته</t>
  </si>
  <si>
    <t>بومي</t>
  </si>
  <si>
    <t xml:space="preserve">آبادان </t>
  </si>
  <si>
    <t>آغاجاری</t>
  </si>
  <si>
    <t>امیدیه</t>
  </si>
  <si>
    <t>اندیمشک</t>
  </si>
  <si>
    <t>باغملک</t>
  </si>
  <si>
    <t>باوی</t>
  </si>
  <si>
    <t>بندرماهشهر</t>
  </si>
  <si>
    <t>رامشیر</t>
  </si>
  <si>
    <t>لالی</t>
  </si>
  <si>
    <t>مسجدسلیمان</t>
  </si>
  <si>
    <t>هفتکل</t>
  </si>
  <si>
    <t>هندیجان</t>
  </si>
  <si>
    <t xml:space="preserve">جمع کل </t>
  </si>
  <si>
    <t>تولید گوشت قرمز 94 به تفکیک شهر ودام</t>
  </si>
  <si>
    <t>گوشت گوسفند</t>
  </si>
  <si>
    <t>گوشت بز</t>
  </si>
  <si>
    <t>گوشت گاو بومی</t>
  </si>
  <si>
    <t>گوشت گاو دورگ</t>
  </si>
  <si>
    <t>گوشت گاو اصیل</t>
  </si>
  <si>
    <t>گوشت گاومیش</t>
  </si>
  <si>
    <t>گوشت شتر</t>
  </si>
  <si>
    <t>جمع شهرستانی</t>
  </si>
  <si>
    <t>تولید شیر 94 به تفکیک شهر ودام</t>
  </si>
  <si>
    <t>شیرگوسفند</t>
  </si>
  <si>
    <t>شیر بز</t>
  </si>
  <si>
    <t>شیر گاو بومی</t>
  </si>
  <si>
    <t>شیرگاو دورگ</t>
  </si>
  <si>
    <t>شیر گاو اصیل</t>
  </si>
  <si>
    <t>شیر گاومیش</t>
  </si>
  <si>
    <t>شیر شتر</t>
  </si>
  <si>
    <t>شهرستان</t>
  </si>
  <si>
    <t>جمعیت انسانی شهرستان</t>
  </si>
  <si>
    <t>شیرخام</t>
  </si>
  <si>
    <t>گوشت قرمز</t>
  </si>
  <si>
    <t>گوشت مرغ</t>
  </si>
  <si>
    <t>تخم مرغ</t>
  </si>
  <si>
    <t>عسل</t>
  </si>
  <si>
    <t>تولید</t>
  </si>
  <si>
    <t>نیاز</t>
  </si>
  <si>
    <t>موازنه</t>
  </si>
  <si>
    <t>بندر ماهشهر</t>
  </si>
  <si>
    <t>هفتگل</t>
  </si>
  <si>
    <t>آمار تعداد و ظرفیت واحد های پرواربندی گوساله استان خوزستان در سال 1395</t>
  </si>
  <si>
    <t>ظرفیت : تن</t>
  </si>
  <si>
    <t>صنعتی</t>
  </si>
  <si>
    <t>سنتی</t>
  </si>
  <si>
    <t>جمع کل شهرستان</t>
  </si>
  <si>
    <t>فعال</t>
  </si>
  <si>
    <t>غیر فعال</t>
  </si>
  <si>
    <t>تعداد</t>
  </si>
  <si>
    <t>ظرفیت</t>
  </si>
  <si>
    <t>استان</t>
  </si>
  <si>
    <t>آمار تعداد و ظرفیت واحد های پرواربندی بره استان خوزستان در سال1395</t>
  </si>
  <si>
    <t>آمار گاوداری های صنعتی(شیری)  خوزستان در سال 1395</t>
  </si>
  <si>
    <t>نیمه فعال</t>
  </si>
  <si>
    <t>ظرفیت اسمی (فعال و نیمه فعال)</t>
  </si>
  <si>
    <t>ظرفیت فعلی (فعال و نیمه فعال)</t>
  </si>
  <si>
    <t>راکد</t>
  </si>
  <si>
    <t>خالی</t>
  </si>
  <si>
    <t>ظرفیت اسمی (راکد و خالی)</t>
  </si>
  <si>
    <t>تعداد واحدهای (فعال و نیمه فعال)</t>
  </si>
  <si>
    <t>تعداد واحدهای (راکد و خالی)</t>
  </si>
  <si>
    <t>آمار گاومیش داری های (شیری)  خوزستان در سال 1395</t>
  </si>
  <si>
    <t>گاوlمیشداری شیری صنعتی</t>
  </si>
  <si>
    <t>متوقف</t>
  </si>
  <si>
    <t>کمتر از50%</t>
  </si>
  <si>
    <t>50تا 70%</t>
  </si>
  <si>
    <t>بالای 70%</t>
  </si>
  <si>
    <t>آمار ماکیان  1395</t>
  </si>
  <si>
    <t>آمار تولیدات گوشت ماکیان 1395</t>
  </si>
  <si>
    <t>آمار تولیدکود ماکیان 1395</t>
  </si>
  <si>
    <t>آمار تولیدات تخم  ماکیان 1395</t>
  </si>
  <si>
    <t>آمار تعداد واحد ماکیان  1394</t>
  </si>
  <si>
    <t>تعداد روستا</t>
  </si>
  <si>
    <t>مرغ بومی</t>
  </si>
  <si>
    <t>اردک</t>
  </si>
  <si>
    <t>غاز</t>
  </si>
  <si>
    <t>بوقلمون</t>
  </si>
  <si>
    <t>بلدرچین</t>
  </si>
  <si>
    <t>شترمرغ</t>
  </si>
  <si>
    <t>مرغ گوشتی صنعتی</t>
  </si>
  <si>
    <t>مرغ مادر</t>
  </si>
  <si>
    <t>مرغ تخمگذار</t>
  </si>
  <si>
    <t>جمع کل</t>
  </si>
  <si>
    <t>جمع(تن)</t>
  </si>
  <si>
    <t>جمع سنتی</t>
  </si>
  <si>
    <t>مولد</t>
  </si>
  <si>
    <t>پرواری</t>
  </si>
  <si>
    <t>کل سایر</t>
  </si>
  <si>
    <t xml:space="preserve"> نوع طیور</t>
  </si>
  <si>
    <t>تخم</t>
  </si>
  <si>
    <t>گوشت</t>
  </si>
  <si>
    <t>فصل</t>
  </si>
  <si>
    <t>وزن(کیلوگرم)</t>
  </si>
  <si>
    <t>ضریب جمعیت تخم گذار</t>
  </si>
  <si>
    <t>وزن لاشه(کیلوگرم)</t>
  </si>
  <si>
    <t>ضریب کشتار</t>
  </si>
  <si>
    <t>بازده لاشه</t>
  </si>
  <si>
    <t>سه ماه سایر</t>
  </si>
  <si>
    <t>وزن نهایی</t>
  </si>
  <si>
    <t xml:space="preserve"> اردک</t>
  </si>
  <si>
    <t>افت کشتار</t>
  </si>
  <si>
    <t xml:space="preserve"> غاز</t>
  </si>
  <si>
    <t xml:space="preserve"> بوقلمون سنتی</t>
  </si>
  <si>
    <t>تلفات</t>
  </si>
  <si>
    <t xml:space="preserve">ضریب تولید گوشت </t>
  </si>
  <si>
    <t xml:space="preserve"> بوقلمون صنعتی</t>
  </si>
  <si>
    <t>مرغ گوشتی</t>
  </si>
  <si>
    <t>?5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</si>
</sst>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.0"/>
    <numFmt numFmtId="165" formatCode="#,##0.0"/>
  </numFmts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28"/>
      <name val="B Titr"/>
      <charset val="178"/>
    </font>
    <font>
      <sz val="28"/>
      <color theme="1"/>
      <name val="Arial"/>
      <family val="2"/>
      <scheme val="minor"/>
    </font>
    <font>
      <sz val="28"/>
      <color theme="1"/>
      <name val="B Titr"/>
      <charset val="178"/>
    </font>
    <font>
      <sz val="11"/>
      <color theme="1"/>
      <name val="B Titr"/>
      <charset val="178"/>
    </font>
    <font>
      <sz val="10"/>
      <name val="Arial"/>
      <family val="2"/>
    </font>
    <font>
      <sz val="14"/>
      <name val="B Titr"/>
      <charset val="178"/>
    </font>
    <font>
      <b/>
      <sz val="10"/>
      <name val="B Nazanin"/>
      <charset val="178"/>
    </font>
    <font>
      <sz val="10"/>
      <name val="B Titr"/>
      <charset val="178"/>
    </font>
    <font>
      <b/>
      <sz val="10"/>
      <name val="B Yagut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2"/>
      <name val="B Nazanin"/>
      <charset val="178"/>
    </font>
    <font>
      <b/>
      <sz val="8"/>
      <name val="B Nazanin"/>
      <charset val="178"/>
    </font>
    <font>
      <sz val="10"/>
      <name val="Arial"/>
      <family val="2"/>
    </font>
    <font>
      <b/>
      <sz val="9"/>
      <name val="B Nazanin"/>
      <charset val="178"/>
    </font>
    <font>
      <sz val="8"/>
      <name val="B Titr"/>
      <charset val="178"/>
    </font>
    <font>
      <b/>
      <sz val="10"/>
      <name val="B Titr"/>
      <charset val="178"/>
    </font>
    <font>
      <b/>
      <sz val="14"/>
      <name val="B Titr"/>
      <charset val="178"/>
    </font>
    <font>
      <sz val="11"/>
      <color theme="1"/>
      <name val="Arial"/>
      <family val="2"/>
      <scheme val="minor"/>
    </font>
    <font>
      <sz val="22"/>
      <color theme="1"/>
      <name val="B Titr"/>
      <charset val="178"/>
    </font>
    <font>
      <sz val="11"/>
      <color theme="1"/>
      <name val="B Koodak"/>
      <charset val="178"/>
    </font>
    <font>
      <sz val="14"/>
      <color theme="1"/>
      <name val="B Koodak"/>
      <charset val="178"/>
    </font>
    <font>
      <sz val="14"/>
      <color rgb="FFFF0000"/>
      <name val="B Koodak"/>
      <charset val="178"/>
    </font>
    <font>
      <sz val="14"/>
      <name val="B Koodak"/>
      <charset val="178"/>
    </font>
    <font>
      <sz val="12"/>
      <name val="B Titr"/>
      <charset val="178"/>
    </font>
    <font>
      <sz val="12"/>
      <name val="B Koodak"/>
      <charset val="178"/>
    </font>
    <font>
      <b/>
      <sz val="14"/>
      <name val="B Koodak"/>
      <charset val="178"/>
    </font>
    <font>
      <sz val="18"/>
      <name val="B Koodak"/>
      <charset val="178"/>
    </font>
    <font>
      <sz val="18"/>
      <color theme="1"/>
      <name val="B Koodak"/>
      <charset val="178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16" fillId="0" borderId="0"/>
    <xf numFmtId="0" fontId="21" fillId="0" borderId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21" fillId="0" borderId="0"/>
  </cellStyleXfs>
  <cellXfs count="213">
    <xf numFmtId="0" fontId="0" fillId="0" borderId="0" xfId="0"/>
    <xf numFmtId="1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shrinkToFit="1"/>
    </xf>
    <xf numFmtId="164" fontId="2" fillId="2" borderId="2" xfId="0" applyNumberFormat="1" applyFont="1" applyFill="1" applyBorder="1" applyAlignment="1">
      <alignment horizontal="center" vertical="center" shrinkToFit="1"/>
    </xf>
    <xf numFmtId="1" fontId="2" fillId="2" borderId="5" xfId="0" applyNumberFormat="1" applyFont="1" applyFill="1" applyBorder="1" applyAlignment="1">
      <alignment horizontal="center" vertical="center" shrinkToFit="1"/>
    </xf>
    <xf numFmtId="164" fontId="2" fillId="2" borderId="5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Border="1" applyAlignment="1">
      <alignment horizontal="center" vertical="center" shrinkToFit="1"/>
    </xf>
    <xf numFmtId="2" fontId="2" fillId="0" borderId="2" xfId="0" applyNumberFormat="1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horizontal="center" shrinkToFit="1"/>
    </xf>
    <xf numFmtId="2" fontId="2" fillId="0" borderId="2" xfId="0" applyNumberFormat="1" applyFont="1" applyBorder="1" applyAlignment="1">
      <alignment horizontal="center" shrinkToFit="1"/>
    </xf>
    <xf numFmtId="164" fontId="2" fillId="0" borderId="2" xfId="0" applyNumberFormat="1" applyFont="1" applyBorder="1" applyAlignment="1">
      <alignment horizontal="center" shrinkToFit="1"/>
    </xf>
    <xf numFmtId="0" fontId="3" fillId="3" borderId="0" xfId="0" applyFont="1" applyFill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1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shrinkToFit="1"/>
    </xf>
    <xf numFmtId="0" fontId="5" fillId="0" borderId="2" xfId="0" applyFont="1" applyBorder="1"/>
    <xf numFmtId="1" fontId="5" fillId="0" borderId="2" xfId="0" applyNumberFormat="1" applyFont="1" applyBorder="1"/>
    <xf numFmtId="0" fontId="6" fillId="0" borderId="0" xfId="1"/>
    <xf numFmtId="0" fontId="8" fillId="4" borderId="8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6" fillId="0" borderId="0" xfId="1" applyFont="1"/>
    <xf numFmtId="1" fontId="6" fillId="0" borderId="0" xfId="1" applyNumberFormat="1" applyAlignment="1">
      <alignment vertical="center"/>
    </xf>
    <xf numFmtId="0" fontId="8" fillId="3" borderId="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shrinkToFit="1"/>
    </xf>
    <xf numFmtId="0" fontId="16" fillId="0" borderId="0" xfId="2"/>
    <xf numFmtId="0" fontId="14" fillId="4" borderId="11" xfId="2" applyFont="1" applyFill="1" applyBorder="1" applyAlignment="1">
      <alignment horizontal="center" vertical="center"/>
    </xf>
    <xf numFmtId="0" fontId="17" fillId="4" borderId="11" xfId="2" applyFont="1" applyFill="1" applyBorder="1" applyAlignment="1">
      <alignment horizontal="center" vertical="center" wrapText="1"/>
    </xf>
    <xf numFmtId="0" fontId="17" fillId="5" borderId="11" xfId="2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6" fillId="0" borderId="0" xfId="2" applyFont="1"/>
    <xf numFmtId="1" fontId="16" fillId="0" borderId="0" xfId="2" applyNumberFormat="1" applyAlignment="1">
      <alignment vertical="center"/>
    </xf>
    <xf numFmtId="0" fontId="14" fillId="4" borderId="11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23" fillId="6" borderId="0" xfId="3" applyFont="1" applyFill="1" applyAlignment="1">
      <alignment horizontal="center" vertical="center" shrinkToFit="1"/>
    </xf>
    <xf numFmtId="0" fontId="23" fillId="0" borderId="0" xfId="3" applyFont="1" applyAlignment="1">
      <alignment horizontal="center" vertical="center" shrinkToFit="1"/>
    </xf>
    <xf numFmtId="0" fontId="24" fillId="6" borderId="0" xfId="3" applyFont="1" applyFill="1" applyAlignment="1">
      <alignment horizontal="center" vertical="center" shrinkToFit="1"/>
    </xf>
    <xf numFmtId="0" fontId="24" fillId="0" borderId="0" xfId="3" applyFont="1" applyAlignment="1">
      <alignment horizontal="center" vertical="center" shrinkToFit="1"/>
    </xf>
    <xf numFmtId="0" fontId="26" fillId="8" borderId="2" xfId="3" applyFont="1" applyFill="1" applyBorder="1" applyAlignment="1">
      <alignment horizontal="center" vertical="center" shrinkToFit="1"/>
    </xf>
    <xf numFmtId="0" fontId="26" fillId="8" borderId="5" xfId="3" applyFont="1" applyFill="1" applyBorder="1" applyAlignment="1">
      <alignment horizontal="center" vertical="center" shrinkToFit="1"/>
    </xf>
    <xf numFmtId="0" fontId="26" fillId="3" borderId="2" xfId="3" applyFont="1" applyFill="1" applyBorder="1" applyAlignment="1">
      <alignment horizontal="center" vertical="center" shrinkToFit="1"/>
    </xf>
    <xf numFmtId="0" fontId="26" fillId="3" borderId="5" xfId="3" applyFont="1" applyFill="1" applyBorder="1" applyAlignment="1">
      <alignment horizontal="center" vertical="center" shrinkToFit="1"/>
    </xf>
    <xf numFmtId="0" fontId="26" fillId="9" borderId="2" xfId="3" applyFont="1" applyFill="1" applyBorder="1" applyAlignment="1">
      <alignment horizontal="center" vertical="center" shrinkToFit="1"/>
    </xf>
    <xf numFmtId="0" fontId="26" fillId="9" borderId="5" xfId="3" applyFont="1" applyFill="1" applyBorder="1" applyAlignment="1">
      <alignment horizontal="center" vertical="center" shrinkToFit="1"/>
    </xf>
    <xf numFmtId="0" fontId="26" fillId="10" borderId="2" xfId="3" applyFont="1" applyFill="1" applyBorder="1" applyAlignment="1">
      <alignment horizontal="center" vertical="center" shrinkToFit="1"/>
    </xf>
    <xf numFmtId="0" fontId="26" fillId="10" borderId="5" xfId="3" applyFont="1" applyFill="1" applyBorder="1" applyAlignment="1">
      <alignment horizontal="center" vertical="center" shrinkToFit="1"/>
    </xf>
    <xf numFmtId="0" fontId="26" fillId="7" borderId="5" xfId="3" applyFont="1" applyFill="1" applyBorder="1" applyAlignment="1">
      <alignment horizontal="center" vertical="center" shrinkToFit="1"/>
    </xf>
    <xf numFmtId="0" fontId="24" fillId="8" borderId="5" xfId="3" applyFont="1" applyFill="1" applyBorder="1" applyAlignment="1">
      <alignment horizontal="center" vertical="center" shrinkToFit="1"/>
    </xf>
    <xf numFmtId="0" fontId="26" fillId="8" borderId="10" xfId="3" applyFont="1" applyFill="1" applyBorder="1" applyAlignment="1">
      <alignment horizontal="center" vertical="center" shrinkToFit="1"/>
    </xf>
    <xf numFmtId="0" fontId="26" fillId="8" borderId="9" xfId="3" applyFont="1" applyFill="1" applyBorder="1" applyAlignment="1">
      <alignment horizontal="center" vertical="center" shrinkToFit="1"/>
    </xf>
    <xf numFmtId="0" fontId="24" fillId="3" borderId="5" xfId="3" applyFont="1" applyFill="1" applyBorder="1" applyAlignment="1">
      <alignment horizontal="center" vertical="center" shrinkToFit="1"/>
    </xf>
    <xf numFmtId="0" fontId="26" fillId="3" borderId="10" xfId="3" applyFont="1" applyFill="1" applyBorder="1" applyAlignment="1">
      <alignment horizontal="center" vertical="center" shrinkToFit="1"/>
    </xf>
    <xf numFmtId="0" fontId="26" fillId="3" borderId="9" xfId="3" applyFont="1" applyFill="1" applyBorder="1" applyAlignment="1">
      <alignment horizontal="center" vertical="center" shrinkToFit="1"/>
    </xf>
    <xf numFmtId="0" fontId="24" fillId="9" borderId="5" xfId="3" applyFont="1" applyFill="1" applyBorder="1" applyAlignment="1">
      <alignment horizontal="center" vertical="center" shrinkToFit="1"/>
    </xf>
    <xf numFmtId="0" fontId="26" fillId="9" borderId="10" xfId="3" applyFont="1" applyFill="1" applyBorder="1" applyAlignment="1">
      <alignment horizontal="center" vertical="center" shrinkToFit="1"/>
    </xf>
    <xf numFmtId="0" fontId="26" fillId="9" borderId="9" xfId="3" applyFont="1" applyFill="1" applyBorder="1" applyAlignment="1">
      <alignment horizontal="center" vertical="center" shrinkToFit="1"/>
    </xf>
    <xf numFmtId="0" fontId="24" fillId="10" borderId="5" xfId="3" applyFont="1" applyFill="1" applyBorder="1" applyAlignment="1">
      <alignment horizontal="center" vertical="center" shrinkToFit="1"/>
    </xf>
    <xf numFmtId="0" fontId="26" fillId="10" borderId="10" xfId="3" applyFont="1" applyFill="1" applyBorder="1" applyAlignment="1">
      <alignment horizontal="center" vertical="center" shrinkToFit="1"/>
    </xf>
    <xf numFmtId="0" fontId="26" fillId="10" borderId="9" xfId="3" applyFont="1" applyFill="1" applyBorder="1" applyAlignment="1">
      <alignment horizontal="center" vertical="center" shrinkToFit="1"/>
    </xf>
    <xf numFmtId="3" fontId="24" fillId="11" borderId="2" xfId="3" applyNumberFormat="1" applyFont="1" applyFill="1" applyBorder="1" applyAlignment="1">
      <alignment horizontal="center" vertical="center" shrinkToFit="1"/>
    </xf>
    <xf numFmtId="3" fontId="24" fillId="11" borderId="9" xfId="3" applyNumberFormat="1" applyFont="1" applyFill="1" applyBorder="1" applyAlignment="1">
      <alignment horizontal="center" vertical="center" shrinkToFit="1"/>
    </xf>
    <xf numFmtId="3" fontId="27" fillId="3" borderId="9" xfId="3" applyNumberFormat="1" applyFont="1" applyFill="1" applyBorder="1" applyAlignment="1">
      <alignment horizontal="center" shrinkToFit="1"/>
    </xf>
    <xf numFmtId="3" fontId="26" fillId="3" borderId="9" xfId="3" applyNumberFormat="1" applyFont="1" applyFill="1" applyBorder="1" applyAlignment="1">
      <alignment horizontal="center" vertical="center" shrinkToFit="1"/>
    </xf>
    <xf numFmtId="3" fontId="26" fillId="3" borderId="2" xfId="3" applyNumberFormat="1" applyFont="1" applyFill="1" applyBorder="1" applyAlignment="1">
      <alignment horizontal="center" vertical="center" shrinkToFit="1" readingOrder="2"/>
    </xf>
    <xf numFmtId="3" fontId="26" fillId="11" borderId="9" xfId="3" applyNumberFormat="1" applyFont="1" applyFill="1" applyBorder="1" applyAlignment="1">
      <alignment horizontal="center" vertical="center" shrinkToFit="1"/>
    </xf>
    <xf numFmtId="3" fontId="26" fillId="11" borderId="2" xfId="3" applyNumberFormat="1" applyFont="1" applyFill="1" applyBorder="1" applyAlignment="1">
      <alignment horizontal="center" vertical="center" shrinkToFit="1"/>
    </xf>
    <xf numFmtId="3" fontId="24" fillId="11" borderId="0" xfId="3" applyNumberFormat="1" applyFont="1" applyFill="1" applyAlignment="1">
      <alignment horizontal="center" vertical="center" shrinkToFit="1"/>
    </xf>
    <xf numFmtId="165" fontId="24" fillId="11" borderId="0" xfId="3" applyNumberFormat="1" applyFont="1" applyFill="1" applyAlignment="1">
      <alignment horizontal="center" vertical="center" shrinkToFit="1"/>
    </xf>
    <xf numFmtId="3" fontId="27" fillId="11" borderId="9" xfId="3" applyNumberFormat="1" applyFont="1" applyFill="1" applyBorder="1" applyAlignment="1">
      <alignment horizontal="center" shrinkToFit="1"/>
    </xf>
    <xf numFmtId="3" fontId="26" fillId="3" borderId="2" xfId="3" applyNumberFormat="1" applyFont="1" applyFill="1" applyBorder="1" applyAlignment="1">
      <alignment horizontal="center" vertical="center" shrinkToFit="1"/>
    </xf>
    <xf numFmtId="3" fontId="26" fillId="3" borderId="5" xfId="3" applyNumberFormat="1" applyFont="1" applyFill="1" applyBorder="1" applyAlignment="1">
      <alignment horizontal="center" vertical="center" shrinkToFit="1"/>
    </xf>
    <xf numFmtId="3" fontId="26" fillId="11" borderId="5" xfId="3" applyNumberFormat="1" applyFont="1" applyFill="1" applyBorder="1" applyAlignment="1">
      <alignment horizontal="center" vertical="center" shrinkToFit="1"/>
    </xf>
    <xf numFmtId="3" fontId="27" fillId="3" borderId="2" xfId="3" applyNumberFormat="1" applyFont="1" applyFill="1" applyBorder="1" applyAlignment="1">
      <alignment horizontal="center" shrinkToFit="1"/>
    </xf>
    <xf numFmtId="3" fontId="24" fillId="3" borderId="2" xfId="3" applyNumberFormat="1" applyFont="1" applyFill="1" applyBorder="1" applyAlignment="1">
      <alignment horizontal="center" vertical="center" shrinkToFit="1"/>
    </xf>
    <xf numFmtId="3" fontId="26" fillId="0" borderId="2" xfId="3" applyNumberFormat="1" applyFont="1" applyBorder="1" applyAlignment="1">
      <alignment horizontal="center" vertical="center" shrinkToFit="1"/>
    </xf>
    <xf numFmtId="3" fontId="24" fillId="0" borderId="2" xfId="3" applyNumberFormat="1" applyFont="1" applyBorder="1" applyAlignment="1">
      <alignment horizontal="center" vertical="center" shrinkToFit="1"/>
    </xf>
    <xf numFmtId="3" fontId="24" fillId="6" borderId="0" xfId="3" applyNumberFormat="1" applyFont="1" applyFill="1" applyAlignment="1">
      <alignment horizontal="center" vertical="center" shrinkToFit="1"/>
    </xf>
    <xf numFmtId="3" fontId="26" fillId="0" borderId="9" xfId="3" applyNumberFormat="1" applyFont="1" applyBorder="1" applyAlignment="1">
      <alignment horizontal="center" vertical="center" shrinkToFit="1"/>
    </xf>
    <xf numFmtId="3" fontId="24" fillId="0" borderId="0" xfId="3" applyNumberFormat="1" applyFont="1" applyAlignment="1">
      <alignment horizontal="center" vertical="center" shrinkToFit="1"/>
    </xf>
    <xf numFmtId="3" fontId="27" fillId="0" borderId="9" xfId="3" applyNumberFormat="1" applyFont="1" applyBorder="1" applyAlignment="1">
      <alignment horizontal="center" shrinkToFit="1"/>
    </xf>
    <xf numFmtId="0" fontId="24" fillId="3" borderId="0" xfId="3" applyFont="1" applyFill="1" applyAlignment="1">
      <alignment horizontal="center" vertical="center" shrinkToFit="1"/>
    </xf>
    <xf numFmtId="3" fontId="24" fillId="3" borderId="0" xfId="3" applyNumberFormat="1" applyFont="1" applyFill="1" applyAlignment="1">
      <alignment horizontal="center" vertical="center" shrinkToFit="1"/>
    </xf>
    <xf numFmtId="1" fontId="24" fillId="0" borderId="0" xfId="3" applyNumberFormat="1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center" vertical="center" shrinkToFit="1" readingOrder="2"/>
    </xf>
    <xf numFmtId="0" fontId="24" fillId="0" borderId="0" xfId="3" applyFont="1" applyBorder="1" applyAlignment="1">
      <alignment horizontal="center" vertical="center" shrinkToFit="1"/>
    </xf>
    <xf numFmtId="0" fontId="26" fillId="0" borderId="0" xfId="3" applyFont="1" applyBorder="1" applyAlignment="1">
      <alignment horizontal="center" vertical="center" shrinkToFit="1"/>
    </xf>
    <xf numFmtId="3" fontId="24" fillId="0" borderId="0" xfId="3" applyNumberFormat="1" applyFont="1" applyBorder="1" applyAlignment="1">
      <alignment horizontal="center" vertical="center" shrinkToFit="1"/>
    </xf>
    <xf numFmtId="3" fontId="26" fillId="0" borderId="0" xfId="3" applyNumberFormat="1" applyFont="1" applyBorder="1" applyAlignment="1">
      <alignment horizontal="center" vertical="center" shrinkToFit="1"/>
    </xf>
    <xf numFmtId="0" fontId="24" fillId="11" borderId="0" xfId="3" applyFont="1" applyFill="1" applyAlignment="1">
      <alignment horizontal="center" vertical="center" shrinkToFit="1"/>
    </xf>
    <xf numFmtId="0" fontId="25" fillId="3" borderId="2" xfId="3" applyFont="1" applyFill="1" applyBorder="1" applyAlignment="1">
      <alignment horizontal="center" vertical="center" shrinkToFit="1" readingOrder="2"/>
    </xf>
    <xf numFmtId="3" fontId="25" fillId="3" borderId="2" xfId="3" applyNumberFormat="1" applyFont="1" applyFill="1" applyBorder="1" applyAlignment="1">
      <alignment horizontal="center" vertical="center" shrinkToFit="1" readingOrder="2"/>
    </xf>
    <xf numFmtId="3" fontId="28" fillId="0" borderId="0" xfId="3" applyNumberFormat="1" applyFont="1" applyBorder="1" applyAlignment="1">
      <alignment horizontal="center" vertical="center" shrinkToFit="1" readingOrder="2"/>
    </xf>
    <xf numFmtId="1" fontId="24" fillId="0" borderId="0" xfId="3" applyNumberFormat="1" applyFont="1" applyAlignment="1">
      <alignment horizontal="center" vertical="center" shrinkToFit="1"/>
    </xf>
    <xf numFmtId="3" fontId="26" fillId="0" borderId="0" xfId="3" applyNumberFormat="1" applyFont="1" applyBorder="1" applyAlignment="1">
      <alignment horizontal="center" vertical="center" shrinkToFit="1" readingOrder="2"/>
    </xf>
    <xf numFmtId="0" fontId="26" fillId="0" borderId="9" xfId="3" applyFont="1" applyBorder="1" applyAlignment="1">
      <alignment horizontal="center" vertical="center" shrinkToFit="1" readingOrder="2"/>
    </xf>
    <xf numFmtId="9" fontId="26" fillId="0" borderId="0" xfId="3" applyNumberFormat="1" applyFont="1" applyBorder="1" applyAlignment="1">
      <alignment horizontal="center" vertical="center" shrinkToFit="1" readingOrder="2"/>
    </xf>
    <xf numFmtId="0" fontId="26" fillId="0" borderId="5" xfId="3" applyFont="1" applyBorder="1" applyAlignment="1">
      <alignment horizontal="center" vertical="center" shrinkToFit="1" readingOrder="2"/>
    </xf>
    <xf numFmtId="0" fontId="26" fillId="3" borderId="2" xfId="3" applyFont="1" applyFill="1" applyBorder="1" applyAlignment="1">
      <alignment horizontal="center" vertical="center" shrinkToFit="1" readingOrder="2"/>
    </xf>
    <xf numFmtId="0" fontId="26" fillId="12" borderId="2" xfId="3" applyFont="1" applyFill="1" applyBorder="1" applyAlignment="1">
      <alignment horizontal="center" vertical="center" shrinkToFit="1" readingOrder="2"/>
    </xf>
    <xf numFmtId="3" fontId="26" fillId="0" borderId="2" xfId="3" applyNumberFormat="1" applyFont="1" applyBorder="1" applyAlignment="1">
      <alignment horizontal="center" vertical="center" shrinkToFit="1" readingOrder="2"/>
    </xf>
    <xf numFmtId="0" fontId="24" fillId="0" borderId="2" xfId="3" applyFont="1" applyBorder="1" applyAlignment="1">
      <alignment horizontal="center" vertical="center" shrinkToFit="1"/>
    </xf>
    <xf numFmtId="0" fontId="30" fillId="3" borderId="2" xfId="3" applyFont="1" applyFill="1" applyBorder="1" applyAlignment="1">
      <alignment horizontal="center" vertical="center" shrinkToFit="1" readingOrder="2"/>
    </xf>
    <xf numFmtId="9" fontId="30" fillId="3" borderId="2" xfId="3" applyNumberFormat="1" applyFont="1" applyFill="1" applyBorder="1" applyAlignment="1">
      <alignment horizontal="center" vertical="center" shrinkToFit="1" readingOrder="2"/>
    </xf>
    <xf numFmtId="9" fontId="30" fillId="12" borderId="2" xfId="3" applyNumberFormat="1" applyFont="1" applyFill="1" applyBorder="1" applyAlignment="1">
      <alignment horizontal="center" vertical="center" shrinkToFit="1" readingOrder="2"/>
    </xf>
    <xf numFmtId="9" fontId="24" fillId="0" borderId="0" xfId="3" applyNumberFormat="1" applyFont="1" applyAlignment="1">
      <alignment horizontal="center" vertical="center" shrinkToFit="1"/>
    </xf>
    <xf numFmtId="9" fontId="24" fillId="0" borderId="0" xfId="3" applyNumberFormat="1" applyFont="1" applyBorder="1" applyAlignment="1">
      <alignment horizontal="center" vertical="center" shrinkToFit="1"/>
    </xf>
    <xf numFmtId="3" fontId="26" fillId="0" borderId="5" xfId="3" applyNumberFormat="1" applyFont="1" applyBorder="1" applyAlignment="1">
      <alignment horizontal="center" vertical="center" shrinkToFit="1"/>
    </xf>
    <xf numFmtId="0" fontId="24" fillId="11" borderId="0" xfId="3" applyFont="1" applyFill="1" applyBorder="1" applyAlignment="1">
      <alignment horizontal="center" vertical="center" shrinkToFit="1"/>
    </xf>
    <xf numFmtId="9" fontId="31" fillId="3" borderId="2" xfId="3" applyNumberFormat="1" applyFont="1" applyFill="1" applyBorder="1" applyAlignment="1">
      <alignment horizontal="center" vertical="center" shrinkToFit="1"/>
    </xf>
    <xf numFmtId="9" fontId="31" fillId="12" borderId="2" xfId="3" applyNumberFormat="1" applyFont="1" applyFill="1" applyBorder="1" applyAlignment="1">
      <alignment horizontal="center" vertical="center" shrinkToFit="1"/>
    </xf>
    <xf numFmtId="0" fontId="21" fillId="0" borderId="0" xfId="3" applyAlignment="1">
      <alignment horizontal="center" vertical="center" shrinkToFit="1"/>
    </xf>
    <xf numFmtId="0" fontId="21" fillId="11" borderId="0" xfId="3" applyFill="1" applyAlignment="1">
      <alignment horizontal="center" vertical="center" shrinkToFit="1"/>
    </xf>
    <xf numFmtId="0" fontId="21" fillId="3" borderId="0" xfId="3" applyFill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0" fontId="0" fillId="0" borderId="4" xfId="0" applyBorder="1"/>
    <xf numFmtId="1" fontId="2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6" xfId="1" applyFont="1" applyBorder="1" applyAlignment="1">
      <alignment horizontal="left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/>
    </xf>
    <xf numFmtId="0" fontId="19" fillId="0" borderId="11" xfId="2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20" fillId="0" borderId="11" xfId="1" applyFont="1" applyBorder="1" applyAlignment="1">
      <alignment horizontal="center" vertical="center"/>
    </xf>
    <xf numFmtId="0" fontId="24" fillId="7" borderId="9" xfId="3" applyFont="1" applyFill="1" applyBorder="1" applyAlignment="1">
      <alignment horizontal="center" vertical="center" shrinkToFit="1"/>
    </xf>
    <xf numFmtId="0" fontId="24" fillId="7" borderId="10" xfId="3" applyFont="1" applyFill="1" applyBorder="1" applyAlignment="1">
      <alignment horizontal="center" vertical="center" shrinkToFit="1"/>
    </xf>
    <xf numFmtId="0" fontId="24" fillId="7" borderId="5" xfId="3" applyFont="1" applyFill="1" applyBorder="1" applyAlignment="1">
      <alignment horizontal="center" vertical="center" shrinkToFit="1"/>
    </xf>
    <xf numFmtId="0" fontId="25" fillId="7" borderId="9" xfId="3" applyFont="1" applyFill="1" applyBorder="1" applyAlignment="1">
      <alignment horizontal="center" vertical="center" shrinkToFit="1"/>
    </xf>
    <xf numFmtId="0" fontId="25" fillId="7" borderId="10" xfId="3" applyFont="1" applyFill="1" applyBorder="1" applyAlignment="1">
      <alignment horizontal="center" vertical="center" shrinkToFit="1"/>
    </xf>
    <xf numFmtId="0" fontId="25" fillId="7" borderId="5" xfId="3" applyFont="1" applyFill="1" applyBorder="1" applyAlignment="1">
      <alignment horizontal="center" vertical="center" shrinkToFit="1"/>
    </xf>
    <xf numFmtId="0" fontId="22" fillId="0" borderId="1" xfId="3" applyFont="1" applyBorder="1" applyAlignment="1">
      <alignment horizontal="center" vertical="center" shrinkToFit="1"/>
    </xf>
    <xf numFmtId="0" fontId="26" fillId="3" borderId="9" xfId="3" applyFont="1" applyFill="1" applyBorder="1" applyAlignment="1">
      <alignment horizontal="center" vertical="center" shrinkToFit="1"/>
    </xf>
    <xf numFmtId="0" fontId="26" fillId="3" borderId="10" xfId="3" applyFont="1" applyFill="1" applyBorder="1" applyAlignment="1">
      <alignment horizontal="center" vertical="center" shrinkToFit="1"/>
    </xf>
    <xf numFmtId="0" fontId="26" fillId="3" borderId="5" xfId="3" applyFont="1" applyFill="1" applyBorder="1" applyAlignment="1">
      <alignment horizontal="center" vertical="center" shrinkToFit="1"/>
    </xf>
    <xf numFmtId="0" fontId="26" fillId="7" borderId="3" xfId="3" applyFont="1" applyFill="1" applyBorder="1" applyAlignment="1">
      <alignment horizontal="center" vertical="center" shrinkToFit="1"/>
    </xf>
    <xf numFmtId="0" fontId="26" fillId="7" borderId="12" xfId="3" applyFont="1" applyFill="1" applyBorder="1" applyAlignment="1">
      <alignment horizontal="center" vertical="center" shrinkToFit="1"/>
    </xf>
    <xf numFmtId="0" fontId="26" fillId="7" borderId="4" xfId="3" applyFont="1" applyFill="1" applyBorder="1" applyAlignment="1">
      <alignment horizontal="center" vertical="center" shrinkToFit="1"/>
    </xf>
    <xf numFmtId="0" fontId="24" fillId="8" borderId="9" xfId="3" applyFont="1" applyFill="1" applyBorder="1" applyAlignment="1">
      <alignment horizontal="center" vertical="center" shrinkToFit="1"/>
    </xf>
    <xf numFmtId="0" fontId="24" fillId="8" borderId="5" xfId="3" applyFont="1" applyFill="1" applyBorder="1" applyAlignment="1">
      <alignment horizontal="center" vertical="center" shrinkToFit="1"/>
    </xf>
    <xf numFmtId="0" fontId="26" fillId="8" borderId="9" xfId="3" applyFont="1" applyFill="1" applyBorder="1" applyAlignment="1">
      <alignment horizontal="center" vertical="center" shrinkToFit="1"/>
    </xf>
    <xf numFmtId="0" fontId="26" fillId="8" borderId="5" xfId="3" applyFont="1" applyFill="1" applyBorder="1" applyAlignment="1">
      <alignment horizontal="center" vertical="center" shrinkToFit="1"/>
    </xf>
    <xf numFmtId="0" fontId="26" fillId="8" borderId="3" xfId="3" applyFont="1" applyFill="1" applyBorder="1" applyAlignment="1">
      <alignment horizontal="center" vertical="center" shrinkToFit="1"/>
    </xf>
    <xf numFmtId="0" fontId="26" fillId="8" borderId="12" xfId="3" applyFont="1" applyFill="1" applyBorder="1" applyAlignment="1">
      <alignment horizontal="center" vertical="center" shrinkToFit="1"/>
    </xf>
    <xf numFmtId="0" fontId="26" fillId="8" borderId="4" xfId="3" applyFont="1" applyFill="1" applyBorder="1" applyAlignment="1">
      <alignment horizontal="center" vertical="center" shrinkToFit="1"/>
    </xf>
    <xf numFmtId="0" fontId="24" fillId="3" borderId="9" xfId="3" applyFont="1" applyFill="1" applyBorder="1" applyAlignment="1">
      <alignment horizontal="center" vertical="center" shrinkToFit="1"/>
    </xf>
    <xf numFmtId="0" fontId="24" fillId="3" borderId="5" xfId="3" applyFont="1" applyFill="1" applyBorder="1" applyAlignment="1">
      <alignment horizontal="center" vertical="center" shrinkToFit="1"/>
    </xf>
    <xf numFmtId="0" fontId="26" fillId="3" borderId="3" xfId="3" applyFont="1" applyFill="1" applyBorder="1" applyAlignment="1">
      <alignment horizontal="center" vertical="center" shrinkToFit="1"/>
    </xf>
    <xf numFmtId="0" fontId="26" fillId="3" borderId="12" xfId="3" applyFont="1" applyFill="1" applyBorder="1" applyAlignment="1">
      <alignment horizontal="center" vertical="center" shrinkToFit="1"/>
    </xf>
    <xf numFmtId="0" fontId="26" fillId="3" borderId="4" xfId="3" applyFont="1" applyFill="1" applyBorder="1" applyAlignment="1">
      <alignment horizontal="center" vertical="center" shrinkToFit="1"/>
    </xf>
    <xf numFmtId="0" fontId="24" fillId="9" borderId="9" xfId="3" applyFont="1" applyFill="1" applyBorder="1" applyAlignment="1">
      <alignment horizontal="center" vertical="center" shrinkToFit="1"/>
    </xf>
    <xf numFmtId="0" fontId="24" fillId="9" borderId="5" xfId="3" applyFont="1" applyFill="1" applyBorder="1" applyAlignment="1">
      <alignment horizontal="center" vertical="center" shrinkToFit="1"/>
    </xf>
    <xf numFmtId="0" fontId="26" fillId="9" borderId="9" xfId="3" applyFont="1" applyFill="1" applyBorder="1" applyAlignment="1">
      <alignment horizontal="center" vertical="center" shrinkToFit="1"/>
    </xf>
    <xf numFmtId="0" fontId="26" fillId="9" borderId="5" xfId="3" applyFont="1" applyFill="1" applyBorder="1" applyAlignment="1">
      <alignment horizontal="center" vertical="center" shrinkToFit="1"/>
    </xf>
    <xf numFmtId="0" fontId="26" fillId="9" borderId="3" xfId="3" applyFont="1" applyFill="1" applyBorder="1" applyAlignment="1">
      <alignment horizontal="center" vertical="center" shrinkToFit="1"/>
    </xf>
    <xf numFmtId="0" fontId="26" fillId="9" borderId="12" xfId="3" applyFont="1" applyFill="1" applyBorder="1" applyAlignment="1">
      <alignment horizontal="center" vertical="center" shrinkToFit="1"/>
    </xf>
    <xf numFmtId="0" fontId="26" fillId="9" borderId="4" xfId="3" applyFont="1" applyFill="1" applyBorder="1" applyAlignment="1">
      <alignment horizontal="center" vertical="center" shrinkToFit="1"/>
    </xf>
    <xf numFmtId="0" fontId="24" fillId="10" borderId="9" xfId="3" applyFont="1" applyFill="1" applyBorder="1" applyAlignment="1">
      <alignment horizontal="center" vertical="center" shrinkToFit="1"/>
    </xf>
    <xf numFmtId="0" fontId="24" fillId="10" borderId="5" xfId="3" applyFont="1" applyFill="1" applyBorder="1" applyAlignment="1">
      <alignment horizontal="center" vertical="center" shrinkToFit="1"/>
    </xf>
    <xf numFmtId="0" fontId="26" fillId="10" borderId="9" xfId="3" applyFont="1" applyFill="1" applyBorder="1" applyAlignment="1">
      <alignment horizontal="center" vertical="center" shrinkToFit="1"/>
    </xf>
    <xf numFmtId="0" fontId="26" fillId="10" borderId="5" xfId="3" applyFont="1" applyFill="1" applyBorder="1" applyAlignment="1">
      <alignment horizontal="center" vertical="center" shrinkToFit="1"/>
    </xf>
    <xf numFmtId="0" fontId="26" fillId="10" borderId="3" xfId="3" applyFont="1" applyFill="1" applyBorder="1" applyAlignment="1">
      <alignment horizontal="center" vertical="center" shrinkToFit="1"/>
    </xf>
    <xf numFmtId="0" fontId="26" fillId="10" borderId="12" xfId="3" applyFont="1" applyFill="1" applyBorder="1" applyAlignment="1">
      <alignment horizontal="center" vertical="center" shrinkToFit="1"/>
    </xf>
    <xf numFmtId="0" fontId="26" fillId="10" borderId="4" xfId="3" applyFont="1" applyFill="1" applyBorder="1" applyAlignment="1">
      <alignment horizontal="center" vertical="center" shrinkToFit="1"/>
    </xf>
    <xf numFmtId="0" fontId="26" fillId="0" borderId="9" xfId="3" applyFont="1" applyBorder="1" applyAlignment="1">
      <alignment horizontal="center" vertical="center" shrinkToFit="1" readingOrder="2"/>
    </xf>
    <xf numFmtId="0" fontId="26" fillId="0" borderId="5" xfId="3" applyFont="1" applyBorder="1" applyAlignment="1">
      <alignment horizontal="center" vertical="center" shrinkToFit="1" readingOrder="2"/>
    </xf>
    <xf numFmtId="0" fontId="29" fillId="3" borderId="3" xfId="3" applyFont="1" applyFill="1" applyBorder="1" applyAlignment="1">
      <alignment horizontal="center" vertical="center" shrinkToFit="1" readingOrder="2"/>
    </xf>
    <xf numFmtId="0" fontId="29" fillId="3" borderId="12" xfId="3" applyFont="1" applyFill="1" applyBorder="1" applyAlignment="1">
      <alignment horizontal="center" vertical="center" shrinkToFit="1" readingOrder="2"/>
    </xf>
    <xf numFmtId="0" fontId="29" fillId="3" borderId="4" xfId="3" applyFont="1" applyFill="1" applyBorder="1" applyAlignment="1">
      <alignment horizontal="center" vertical="center" shrinkToFit="1" readingOrder="2"/>
    </xf>
    <xf numFmtId="1" fontId="24" fillId="12" borderId="3" xfId="3" applyNumberFormat="1" applyFont="1" applyFill="1" applyBorder="1" applyAlignment="1">
      <alignment horizontal="center" vertical="center" shrinkToFit="1"/>
    </xf>
    <xf numFmtId="1" fontId="24" fillId="12" borderId="12" xfId="3" applyNumberFormat="1" applyFont="1" applyFill="1" applyBorder="1" applyAlignment="1">
      <alignment horizontal="center" vertical="center" shrinkToFit="1"/>
    </xf>
    <xf numFmtId="1" fontId="24" fillId="12" borderId="4" xfId="3" applyNumberFormat="1" applyFont="1" applyFill="1" applyBorder="1" applyAlignment="1">
      <alignment horizontal="center" vertical="center" shrinkToFit="1"/>
    </xf>
    <xf numFmtId="0" fontId="26" fillId="7" borderId="9" xfId="3" applyFont="1" applyFill="1" applyBorder="1" applyAlignment="1">
      <alignment horizontal="center" vertical="center" shrinkToFit="1"/>
    </xf>
    <xf numFmtId="0" fontId="26" fillId="7" borderId="5" xfId="3" applyFont="1" applyFill="1" applyBorder="1" applyAlignment="1">
      <alignment horizontal="center" vertical="center" shrinkToFit="1"/>
    </xf>
    <xf numFmtId="3" fontId="24" fillId="0" borderId="3" xfId="3" applyNumberFormat="1" applyFont="1" applyBorder="1" applyAlignment="1">
      <alignment horizontal="center" vertical="center" shrinkToFit="1"/>
    </xf>
    <xf numFmtId="3" fontId="24" fillId="0" borderId="4" xfId="3" applyNumberFormat="1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/>
    </xf>
  </cellXfs>
  <cellStyles count="10">
    <cellStyle name="Comma 2" xfId="4"/>
    <cellStyle name="Comma 3" xfId="5"/>
    <cellStyle name="Normal" xfId="0" builtinId="0"/>
    <cellStyle name="Normal 2" xfId="1"/>
    <cellStyle name="Normal 2 2" xfId="6"/>
    <cellStyle name="Normal 2 6" xfId="7"/>
    <cellStyle name="Normal 3" xfId="2"/>
    <cellStyle name="Normal 4" xfId="3"/>
    <cellStyle name="Normal 4 4" xfId="8"/>
    <cellStyle name="Normal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rightToLeft="1" zoomScale="50" zoomScaleNormal="50" workbookViewId="0">
      <selection activeCell="Z6" sqref="Z6"/>
    </sheetView>
  </sheetViews>
  <sheetFormatPr defaultRowHeight="34.5" x14ac:dyDescent="0.2"/>
  <cols>
    <col min="1" max="16384" width="9" style="2"/>
  </cols>
  <sheetData>
    <row r="1" spans="1:28" ht="55.5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"/>
      <c r="Z1" s="1"/>
      <c r="AA1" s="1"/>
      <c r="AB1" s="1"/>
    </row>
    <row r="2" spans="1:28" ht="55.5" x14ac:dyDescent="0.2">
      <c r="A2" s="3" t="s">
        <v>172</v>
      </c>
      <c r="B2" s="3" t="s">
        <v>1</v>
      </c>
      <c r="C2" s="3" t="s">
        <v>2</v>
      </c>
      <c r="D2" s="3" t="s">
        <v>3</v>
      </c>
      <c r="E2" s="143" t="s">
        <v>4</v>
      </c>
      <c r="F2" s="144"/>
      <c r="G2" s="3" t="s">
        <v>5</v>
      </c>
      <c r="H2" s="143" t="s">
        <v>6</v>
      </c>
      <c r="I2" s="144"/>
      <c r="J2" s="3" t="s">
        <v>5</v>
      </c>
      <c r="K2" s="3" t="s">
        <v>7</v>
      </c>
      <c r="L2" s="4"/>
      <c r="M2" s="143" t="s">
        <v>8</v>
      </c>
      <c r="N2" s="144"/>
      <c r="O2" s="3" t="s">
        <v>5</v>
      </c>
      <c r="P2" s="3" t="s">
        <v>9</v>
      </c>
      <c r="Q2" s="3" t="s">
        <v>10</v>
      </c>
      <c r="R2" s="3" t="s">
        <v>11</v>
      </c>
      <c r="S2" s="3" t="s">
        <v>5</v>
      </c>
      <c r="T2" s="3" t="s">
        <v>12</v>
      </c>
      <c r="U2" s="143" t="s">
        <v>13</v>
      </c>
      <c r="V2" s="144"/>
      <c r="W2" s="3" t="s">
        <v>5</v>
      </c>
      <c r="X2" s="4"/>
      <c r="Y2" s="3" t="s">
        <v>5</v>
      </c>
      <c r="Z2" s="143" t="s">
        <v>14</v>
      </c>
      <c r="AA2" s="144"/>
      <c r="AB2" s="3" t="s">
        <v>5</v>
      </c>
    </row>
    <row r="3" spans="1:28" ht="55.5" x14ac:dyDescent="0.2">
      <c r="A3" s="5" t="s">
        <v>15</v>
      </c>
      <c r="B3" s="5"/>
      <c r="C3" s="5" t="s">
        <v>16</v>
      </c>
      <c r="D3" s="5"/>
      <c r="E3" s="5" t="s">
        <v>17</v>
      </c>
      <c r="F3" s="5" t="s">
        <v>18</v>
      </c>
      <c r="G3" s="5" t="s">
        <v>4</v>
      </c>
      <c r="H3" s="5" t="s">
        <v>17</v>
      </c>
      <c r="I3" s="5" t="s">
        <v>18</v>
      </c>
      <c r="J3" s="5" t="s">
        <v>6</v>
      </c>
      <c r="K3" s="5" t="s">
        <v>19</v>
      </c>
      <c r="L3" s="6" t="s">
        <v>20</v>
      </c>
      <c r="M3" s="5" t="s">
        <v>17</v>
      </c>
      <c r="N3" s="5" t="s">
        <v>18</v>
      </c>
      <c r="O3" s="5" t="s">
        <v>21</v>
      </c>
      <c r="P3" s="5"/>
      <c r="Q3" s="5"/>
      <c r="R3" s="5"/>
      <c r="S3" s="5" t="s">
        <v>22</v>
      </c>
      <c r="T3" s="5"/>
      <c r="U3" s="5" t="s">
        <v>17</v>
      </c>
      <c r="V3" s="5" t="s">
        <v>18</v>
      </c>
      <c r="W3" s="5" t="s">
        <v>23</v>
      </c>
      <c r="X3" s="6" t="s">
        <v>24</v>
      </c>
      <c r="Y3" s="5" t="s">
        <v>25</v>
      </c>
      <c r="Z3" s="5" t="s">
        <v>17</v>
      </c>
      <c r="AA3" s="5" t="s">
        <v>18</v>
      </c>
      <c r="AB3" s="5" t="s">
        <v>26</v>
      </c>
    </row>
    <row r="4" spans="1:28" ht="55.5" x14ac:dyDescent="1.45">
      <c r="A4" s="7">
        <v>1</v>
      </c>
      <c r="B4" s="7" t="s">
        <v>27</v>
      </c>
      <c r="C4" s="8">
        <v>0.8252360557494901</v>
      </c>
      <c r="D4" s="7">
        <v>52194.921958365216</v>
      </c>
      <c r="E4" s="7">
        <v>1303.0912139290519</v>
      </c>
      <c r="F4" s="7">
        <v>431.46386055562544</v>
      </c>
      <c r="G4" s="7">
        <v>1734.5550744846773</v>
      </c>
      <c r="H4" s="7">
        <v>237.89744473138333</v>
      </c>
      <c r="I4" s="7">
        <v>100.08913933609836</v>
      </c>
      <c r="J4" s="9">
        <v>337.98658406748166</v>
      </c>
      <c r="K4" s="9">
        <v>2072.5416585521589</v>
      </c>
      <c r="L4" s="10">
        <v>5.8927144881486294E-2</v>
      </c>
      <c r="M4" s="9">
        <v>2049.9430006397993</v>
      </c>
      <c r="N4" s="9">
        <v>0</v>
      </c>
      <c r="O4" s="9">
        <v>2049.9430006397993</v>
      </c>
      <c r="P4" s="9">
        <v>4478.9799250006708</v>
      </c>
      <c r="Q4" s="9">
        <v>107.13119557823129</v>
      </c>
      <c r="R4" s="9">
        <v>765.61678042664187</v>
      </c>
      <c r="S4" s="9">
        <v>6636.0541212187018</v>
      </c>
      <c r="T4" s="9">
        <v>0</v>
      </c>
      <c r="U4" s="9">
        <v>0</v>
      </c>
      <c r="V4" s="9">
        <v>0</v>
      </c>
      <c r="W4" s="9">
        <v>0</v>
      </c>
      <c r="X4" s="11">
        <v>1.3695565637893112</v>
      </c>
      <c r="Y4" s="9">
        <v>7401.6709016453433</v>
      </c>
      <c r="Z4" s="9">
        <v>172487</v>
      </c>
      <c r="AA4" s="9">
        <v>0</v>
      </c>
      <c r="AB4" s="9">
        <v>172487</v>
      </c>
    </row>
    <row r="5" spans="1:28" ht="55.5" x14ac:dyDescent="1.45">
      <c r="A5" s="7">
        <v>2</v>
      </c>
      <c r="B5" s="7" t="s">
        <v>28</v>
      </c>
      <c r="C5" s="8">
        <v>0.56005774861908741</v>
      </c>
      <c r="D5" s="7">
        <v>35422.798455893877</v>
      </c>
      <c r="E5" s="7">
        <v>6944.0529700607831</v>
      </c>
      <c r="F5" s="7">
        <v>2299.2311438670395</v>
      </c>
      <c r="G5" s="7">
        <v>9243.2841139278225</v>
      </c>
      <c r="H5" s="7">
        <v>6201.3076655213208</v>
      </c>
      <c r="I5" s="7">
        <v>2609.0383093488435</v>
      </c>
      <c r="J5" s="9">
        <v>8810.3459748701644</v>
      </c>
      <c r="K5" s="9">
        <v>18053.630088797989</v>
      </c>
      <c r="L5" s="10">
        <v>0.51330638951911123</v>
      </c>
      <c r="M5" s="9">
        <v>1046.4083622297508</v>
      </c>
      <c r="N5" s="9">
        <v>0</v>
      </c>
      <c r="O5" s="9">
        <v>1046.4083622297508</v>
      </c>
      <c r="P5" s="9">
        <v>1312.4508267986523</v>
      </c>
      <c r="Q5" s="9">
        <v>0</v>
      </c>
      <c r="R5" s="9">
        <v>0</v>
      </c>
      <c r="S5" s="9">
        <v>2358.8591890284033</v>
      </c>
      <c r="T5" s="9">
        <v>45.727932125851858</v>
      </c>
      <c r="U5" s="9">
        <v>171.70918795799997</v>
      </c>
      <c r="V5" s="9">
        <v>708.0791256</v>
      </c>
      <c r="W5" s="9">
        <v>879.78831355800003</v>
      </c>
      <c r="X5" s="11">
        <v>0.60771925614237121</v>
      </c>
      <c r="Y5" s="9">
        <v>3284.3754347122554</v>
      </c>
      <c r="Z5" s="9">
        <v>54309</v>
      </c>
      <c r="AA5" s="9">
        <v>11807</v>
      </c>
      <c r="AB5" s="9">
        <v>66116</v>
      </c>
    </row>
    <row r="6" spans="1:28" ht="55.5" x14ac:dyDescent="1.45">
      <c r="A6" s="7">
        <v>3</v>
      </c>
      <c r="B6" s="7" t="s">
        <v>29</v>
      </c>
      <c r="C6" s="8">
        <v>1.5464169311486444</v>
      </c>
      <c r="D6" s="7">
        <v>97808.51245416273</v>
      </c>
      <c r="E6" s="7">
        <v>28625.925964552571</v>
      </c>
      <c r="F6" s="7">
        <v>9478.2716640416511</v>
      </c>
      <c r="G6" s="7">
        <v>38104.197628594222</v>
      </c>
      <c r="H6" s="7">
        <v>15663.444667376567</v>
      </c>
      <c r="I6" s="7">
        <v>6589.985434969677</v>
      </c>
      <c r="J6" s="9">
        <v>22253.430102346243</v>
      </c>
      <c r="K6" s="9">
        <v>60357.627730940469</v>
      </c>
      <c r="L6" s="10">
        <v>1.7161067230313691</v>
      </c>
      <c r="M6" s="9">
        <v>3482.743331506173</v>
      </c>
      <c r="N6" s="9">
        <v>0</v>
      </c>
      <c r="O6" s="9">
        <v>3482.743331506173</v>
      </c>
      <c r="P6" s="9">
        <v>3081.3855501069579</v>
      </c>
      <c r="Q6" s="9">
        <v>428.52478231292514</v>
      </c>
      <c r="R6" s="9">
        <v>108.05818232164312</v>
      </c>
      <c r="S6" s="9">
        <v>6992.6536639260557</v>
      </c>
      <c r="T6" s="9">
        <v>268.59771589514133</v>
      </c>
      <c r="U6" s="9">
        <v>382.7307426326999</v>
      </c>
      <c r="V6" s="9">
        <v>122.51632239</v>
      </c>
      <c r="W6" s="9">
        <v>505.24706502269987</v>
      </c>
      <c r="X6" s="11">
        <v>1.457056232163447</v>
      </c>
      <c r="Y6" s="9">
        <v>7874.5566271655407</v>
      </c>
      <c r="Z6" s="9">
        <v>13250</v>
      </c>
      <c r="AA6" s="9">
        <v>0</v>
      </c>
      <c r="AB6" s="9">
        <v>13250</v>
      </c>
    </row>
    <row r="7" spans="1:28" ht="55.5" x14ac:dyDescent="1.45">
      <c r="A7" s="7">
        <v>4</v>
      </c>
      <c r="B7" s="7" t="s">
        <v>30</v>
      </c>
      <c r="C7" s="8">
        <v>2.8662619795829234</v>
      </c>
      <c r="D7" s="7">
        <v>181286.69887149744</v>
      </c>
      <c r="E7" s="7">
        <v>70594.422621343896</v>
      </c>
      <c r="F7" s="7">
        <v>23374.374558217827</v>
      </c>
      <c r="G7" s="7">
        <v>93968.79717956172</v>
      </c>
      <c r="H7" s="7">
        <v>58269.499944536525</v>
      </c>
      <c r="I7" s="7">
        <v>24515.370922032092</v>
      </c>
      <c r="J7" s="9">
        <v>82784.870866568614</v>
      </c>
      <c r="K7" s="9">
        <v>176753.66804613033</v>
      </c>
      <c r="L7" s="10">
        <v>5.0255149093430536</v>
      </c>
      <c r="M7" s="9">
        <v>2257.1889753738383</v>
      </c>
      <c r="N7" s="9">
        <v>0</v>
      </c>
      <c r="O7" s="9">
        <v>2257.1889753738383</v>
      </c>
      <c r="P7" s="9">
        <v>1192.4866679980487</v>
      </c>
      <c r="Q7" s="9">
        <v>0</v>
      </c>
      <c r="R7" s="9">
        <v>0</v>
      </c>
      <c r="S7" s="9">
        <v>3449.675643371887</v>
      </c>
      <c r="T7" s="9">
        <v>0</v>
      </c>
      <c r="U7" s="9">
        <v>1548.9976218947995</v>
      </c>
      <c r="V7" s="9">
        <v>0</v>
      </c>
      <c r="W7" s="9">
        <v>1548.9976218947995</v>
      </c>
      <c r="X7" s="11">
        <v>0.92492166588524316</v>
      </c>
      <c r="Y7" s="9">
        <v>4998.6732652666869</v>
      </c>
      <c r="Z7" s="9">
        <v>31443</v>
      </c>
      <c r="AA7" s="9">
        <v>5528</v>
      </c>
      <c r="AB7" s="9">
        <v>36971</v>
      </c>
    </row>
    <row r="8" spans="1:28" ht="55.5" x14ac:dyDescent="1.45">
      <c r="A8" s="7">
        <v>5</v>
      </c>
      <c r="B8" s="7" t="s">
        <v>31</v>
      </c>
      <c r="C8" s="8">
        <v>5.104594345257266</v>
      </c>
      <c r="D8" s="7">
        <v>322857.80731894542</v>
      </c>
      <c r="E8" s="7">
        <v>116297.25030414062</v>
      </c>
      <c r="F8" s="7">
        <v>38506.944143175228</v>
      </c>
      <c r="G8" s="7">
        <v>154804.19444731585</v>
      </c>
      <c r="H8" s="7">
        <v>52488.128869997723</v>
      </c>
      <c r="I8" s="7">
        <v>22083.009970502852</v>
      </c>
      <c r="J8" s="9">
        <v>74571.138840500571</v>
      </c>
      <c r="K8" s="9">
        <v>229375.33328781644</v>
      </c>
      <c r="L8" s="10">
        <v>6.5216703563549627</v>
      </c>
      <c r="M8" s="9">
        <v>4842.7819019756835</v>
      </c>
      <c r="N8" s="9">
        <v>620.53969593626925</v>
      </c>
      <c r="O8" s="9">
        <v>5463.3215979119523</v>
      </c>
      <c r="P8" s="9">
        <v>4234.5201580610728</v>
      </c>
      <c r="Q8" s="9">
        <v>321.39358673469383</v>
      </c>
      <c r="R8" s="9">
        <v>1398.6761136862212</v>
      </c>
      <c r="S8" s="9">
        <v>10019.235342707718</v>
      </c>
      <c r="T8" s="9">
        <v>0</v>
      </c>
      <c r="U8" s="9">
        <v>1830.9621831731999</v>
      </c>
      <c r="V8" s="9">
        <v>6696.0061522199994</v>
      </c>
      <c r="W8" s="9">
        <v>8526.9683353931996</v>
      </c>
      <c r="X8" s="11">
        <v>3.6904695434052304</v>
      </c>
      <c r="Y8" s="9">
        <v>19944.879791787138</v>
      </c>
      <c r="Z8" s="9">
        <v>272884</v>
      </c>
      <c r="AA8" s="9">
        <v>32906</v>
      </c>
      <c r="AB8" s="9">
        <v>305790</v>
      </c>
    </row>
    <row r="9" spans="1:28" ht="55.5" x14ac:dyDescent="1.45">
      <c r="A9" s="7">
        <v>6</v>
      </c>
      <c r="B9" s="7" t="s">
        <v>32</v>
      </c>
      <c r="C9" s="8">
        <v>6.0553386815267185</v>
      </c>
      <c r="D9" s="7">
        <v>382990.93660747691</v>
      </c>
      <c r="E9" s="7">
        <v>90703.547398652401</v>
      </c>
      <c r="F9" s="7">
        <v>30032.665640276111</v>
      </c>
      <c r="G9" s="7">
        <v>120736.21303892852</v>
      </c>
      <c r="H9" s="7">
        <v>11625.807425449409</v>
      </c>
      <c r="I9" s="7">
        <v>4891.2549717140737</v>
      </c>
      <c r="J9" s="9">
        <v>16517.062397163481</v>
      </c>
      <c r="K9" s="9">
        <v>137253.27543609199</v>
      </c>
      <c r="L9" s="10">
        <v>3.9024275404583335</v>
      </c>
      <c r="M9" s="9">
        <v>16260.90932157958</v>
      </c>
      <c r="N9" s="9">
        <v>0</v>
      </c>
      <c r="O9" s="9">
        <v>16260.90932157958</v>
      </c>
      <c r="P9" s="9">
        <v>17423.103266024114</v>
      </c>
      <c r="Q9" s="9">
        <v>749.91836904761897</v>
      </c>
      <c r="R9" s="9">
        <v>6673.5836366942549</v>
      </c>
      <c r="S9" s="9">
        <v>34433.930956651311</v>
      </c>
      <c r="T9" s="9">
        <v>61.631100791502703</v>
      </c>
      <c r="U9" s="9">
        <v>3954.6197903072002</v>
      </c>
      <c r="V9" s="9">
        <v>0</v>
      </c>
      <c r="W9" s="9">
        <v>3954.6197903072002</v>
      </c>
      <c r="X9" s="11">
        <v>8.3494051577425008</v>
      </c>
      <c r="Y9" s="9">
        <v>45123.765484444266</v>
      </c>
      <c r="Z9" s="9">
        <v>73396</v>
      </c>
      <c r="AA9" s="9">
        <v>0</v>
      </c>
      <c r="AB9" s="9">
        <v>73396</v>
      </c>
    </row>
    <row r="10" spans="1:28" ht="55.5" x14ac:dyDescent="1.45">
      <c r="A10" s="7">
        <v>7</v>
      </c>
      <c r="B10" s="7" t="s">
        <v>33</v>
      </c>
      <c r="C10" s="8">
        <v>10.560425202756509</v>
      </c>
      <c r="D10" s="7">
        <v>667930.7883662713</v>
      </c>
      <c r="E10" s="7">
        <v>188703.47993800286</v>
      </c>
      <c r="F10" s="7">
        <v>62481.222407171146</v>
      </c>
      <c r="G10" s="7">
        <v>251184.70234517401</v>
      </c>
      <c r="H10" s="7">
        <v>210607.46673260161</v>
      </c>
      <c r="I10" s="7">
        <v>88607.593523434174</v>
      </c>
      <c r="J10" s="9">
        <v>299215.06025603577</v>
      </c>
      <c r="K10" s="9">
        <v>550399.7626012098</v>
      </c>
      <c r="L10" s="10">
        <v>15.649136131813442</v>
      </c>
      <c r="M10" s="9">
        <v>18653.533593938977</v>
      </c>
      <c r="N10" s="9">
        <v>2390.2084171491556</v>
      </c>
      <c r="O10" s="9">
        <v>21043.742011088132</v>
      </c>
      <c r="P10" s="9">
        <v>6726.8172941769935</v>
      </c>
      <c r="Q10" s="9">
        <v>1071.3119557823129</v>
      </c>
      <c r="R10" s="9">
        <v>858.45694687999992</v>
      </c>
      <c r="S10" s="9">
        <v>28841.871261047439</v>
      </c>
      <c r="T10" s="9">
        <v>0</v>
      </c>
      <c r="U10" s="9">
        <v>2913.6337998767995</v>
      </c>
      <c r="V10" s="9">
        <v>4761.83211966</v>
      </c>
      <c r="W10" s="9">
        <v>7675.4659195367994</v>
      </c>
      <c r="X10" s="11">
        <v>6.9157714324650428</v>
      </c>
      <c r="Y10" s="9">
        <v>37375.794127464236</v>
      </c>
      <c r="Z10" s="9">
        <v>156033</v>
      </c>
      <c r="AA10" s="9">
        <v>197429</v>
      </c>
      <c r="AB10" s="9">
        <v>353462</v>
      </c>
    </row>
    <row r="11" spans="1:28" ht="55.5" x14ac:dyDescent="1.45">
      <c r="A11" s="7">
        <v>8</v>
      </c>
      <c r="B11" s="7" t="s">
        <v>34</v>
      </c>
      <c r="C11" s="8">
        <v>4.0658381906843166</v>
      </c>
      <c r="D11" s="7">
        <v>257158.06474957199</v>
      </c>
      <c r="E11" s="7">
        <v>49520.850235434722</v>
      </c>
      <c r="F11" s="7">
        <v>16396.747205557433</v>
      </c>
      <c r="G11" s="7">
        <v>65917.597440992162</v>
      </c>
      <c r="H11" s="7">
        <v>67563.9555804103</v>
      </c>
      <c r="I11" s="7">
        <v>28425.770490394643</v>
      </c>
      <c r="J11" s="9">
        <v>95989.726070804943</v>
      </c>
      <c r="K11" s="9">
        <v>161907.32351179712</v>
      </c>
      <c r="L11" s="10">
        <v>4.6033990538063927</v>
      </c>
      <c r="M11" s="9">
        <v>6560.1852224016529</v>
      </c>
      <c r="N11" s="9">
        <v>0</v>
      </c>
      <c r="O11" s="9">
        <v>6560.1852224016529</v>
      </c>
      <c r="P11" s="9">
        <v>2990.7565633391064</v>
      </c>
      <c r="Q11" s="9">
        <v>4285.2478231292516</v>
      </c>
      <c r="R11" s="9">
        <v>0</v>
      </c>
      <c r="S11" s="9">
        <v>13836.18960887001</v>
      </c>
      <c r="T11" s="9">
        <v>0</v>
      </c>
      <c r="U11" s="9">
        <v>2481.6496322771995</v>
      </c>
      <c r="V11" s="9">
        <v>3397.8481198199997</v>
      </c>
      <c r="W11" s="9">
        <v>5879.4977520971988</v>
      </c>
      <c r="X11" s="11">
        <v>3.648061281517974</v>
      </c>
      <c r="Y11" s="9">
        <v>19715.687360967211</v>
      </c>
      <c r="Z11" s="9">
        <v>129199</v>
      </c>
      <c r="AA11" s="9">
        <v>30799</v>
      </c>
      <c r="AB11" s="9">
        <v>159998</v>
      </c>
    </row>
    <row r="12" spans="1:28" ht="55.5" x14ac:dyDescent="1.45">
      <c r="A12" s="7">
        <v>9</v>
      </c>
      <c r="B12" s="7" t="s">
        <v>35</v>
      </c>
      <c r="C12" s="8">
        <v>2.5187279258787694</v>
      </c>
      <c r="D12" s="7">
        <v>159305.69999901351</v>
      </c>
      <c r="E12" s="7">
        <v>42567.627981319514</v>
      </c>
      <c r="F12" s="7">
        <v>14094.480038843822</v>
      </c>
      <c r="G12" s="7">
        <v>56662.108020163338</v>
      </c>
      <c r="H12" s="7">
        <v>4464.0181171613658</v>
      </c>
      <c r="I12" s="7">
        <v>1878.1190854400538</v>
      </c>
      <c r="J12" s="9">
        <v>6342.1372026014196</v>
      </c>
      <c r="K12" s="9">
        <v>63004.245222764759</v>
      </c>
      <c r="L12" s="10">
        <v>1.7913561694022344</v>
      </c>
      <c r="M12" s="9">
        <v>5319.650336831779</v>
      </c>
      <c r="N12" s="9">
        <v>0</v>
      </c>
      <c r="O12" s="9">
        <v>5319.650336831779</v>
      </c>
      <c r="P12" s="9">
        <v>6471.8636445590109</v>
      </c>
      <c r="Q12" s="9">
        <v>214.26239115646257</v>
      </c>
      <c r="R12" s="9">
        <v>3574.3550035462836</v>
      </c>
      <c r="S12" s="9">
        <v>12005.776372547252</v>
      </c>
      <c r="T12" s="9">
        <v>53.984824873739534</v>
      </c>
      <c r="U12" s="9">
        <v>1558.0349475768003</v>
      </c>
      <c r="V12" s="9">
        <v>0</v>
      </c>
      <c r="W12" s="9">
        <v>1558.0349475768003</v>
      </c>
      <c r="X12" s="11">
        <v>3.1811227172924492</v>
      </c>
      <c r="Y12" s="9">
        <v>17192.151148544075</v>
      </c>
      <c r="Z12" s="9">
        <v>49110</v>
      </c>
      <c r="AA12" s="9">
        <v>0</v>
      </c>
      <c r="AB12" s="9">
        <v>49110</v>
      </c>
    </row>
    <row r="13" spans="1:28" ht="55.5" x14ac:dyDescent="1.45">
      <c r="A13" s="7">
        <v>10</v>
      </c>
      <c r="B13" s="7" t="s">
        <v>37</v>
      </c>
      <c r="C13" s="8">
        <v>1.5338656567746898</v>
      </c>
      <c r="D13" s="7">
        <v>97014.663491962929</v>
      </c>
      <c r="E13" s="7">
        <v>37922.500290485637</v>
      </c>
      <c r="F13" s="7">
        <v>12556.44133147046</v>
      </c>
      <c r="G13" s="7">
        <v>50478.941621956095</v>
      </c>
      <c r="H13" s="7">
        <v>7296.7327235678767</v>
      </c>
      <c r="I13" s="7">
        <v>3069.9098054293213</v>
      </c>
      <c r="J13" s="9">
        <v>10366.642528997198</v>
      </c>
      <c r="K13" s="9">
        <v>60845.584150953291</v>
      </c>
      <c r="L13" s="10">
        <v>1.7299804507508079</v>
      </c>
      <c r="M13" s="9">
        <v>3732.725172427055</v>
      </c>
      <c r="N13" s="9">
        <v>0</v>
      </c>
      <c r="O13" s="9">
        <v>3732.725172427055</v>
      </c>
      <c r="P13" s="9">
        <v>2895.357629899263</v>
      </c>
      <c r="Q13" s="9">
        <v>0</v>
      </c>
      <c r="R13" s="9">
        <v>0</v>
      </c>
      <c r="S13" s="9">
        <v>6628.0828023263184</v>
      </c>
      <c r="T13" s="9">
        <v>0</v>
      </c>
      <c r="U13" s="9">
        <v>85.854593978999986</v>
      </c>
      <c r="V13" s="9">
        <v>177.0197814</v>
      </c>
      <c r="W13" s="9">
        <v>262.87437537899996</v>
      </c>
      <c r="X13" s="11">
        <v>1.2750574510708763</v>
      </c>
      <c r="Y13" s="9">
        <v>6890.9571777053188</v>
      </c>
      <c r="Z13" s="9">
        <v>92912</v>
      </c>
      <c r="AA13" s="9">
        <v>2765</v>
      </c>
      <c r="AB13" s="9">
        <v>95677</v>
      </c>
    </row>
    <row r="14" spans="1:28" ht="55.5" x14ac:dyDescent="1.45">
      <c r="A14" s="7">
        <v>11</v>
      </c>
      <c r="B14" s="7" t="s">
        <v>36</v>
      </c>
      <c r="C14" s="8">
        <v>5.2864526284146613</v>
      </c>
      <c r="D14" s="7">
        <v>334360.06637652102</v>
      </c>
      <c r="E14" s="7">
        <v>55127.566718331531</v>
      </c>
      <c r="F14" s="7">
        <v>18253.175606649562</v>
      </c>
      <c r="G14" s="7">
        <v>73380.742324981096</v>
      </c>
      <c r="H14" s="7">
        <v>54181.354321524923</v>
      </c>
      <c r="I14" s="7">
        <v>22795.390376003594</v>
      </c>
      <c r="J14" s="9">
        <v>76976.744697528513</v>
      </c>
      <c r="K14" s="9">
        <v>150357.48702250962</v>
      </c>
      <c r="L14" s="10">
        <v>4.2750105336754265</v>
      </c>
      <c r="M14" s="9">
        <v>9356.3253204548673</v>
      </c>
      <c r="N14" s="9">
        <v>1198.8917500222856</v>
      </c>
      <c r="O14" s="9">
        <v>10555.217070477152</v>
      </c>
      <c r="P14" s="9">
        <v>11583.815492933047</v>
      </c>
      <c r="Q14" s="9">
        <v>4820.9038010204085</v>
      </c>
      <c r="R14" s="9">
        <v>104.308256</v>
      </c>
      <c r="S14" s="9">
        <v>26959.936364430607</v>
      </c>
      <c r="T14" s="9">
        <v>322.98046331094787</v>
      </c>
      <c r="U14" s="9">
        <v>3741.452832347999</v>
      </c>
      <c r="V14" s="9">
        <v>871.12366109999994</v>
      </c>
      <c r="W14" s="9">
        <v>4612.5764934479994</v>
      </c>
      <c r="X14" s="11">
        <v>5.9210330846043675</v>
      </c>
      <c r="Y14" s="9">
        <v>31999.801577189555</v>
      </c>
      <c r="Z14" s="9">
        <v>253513</v>
      </c>
      <c r="AA14" s="9">
        <v>164525</v>
      </c>
      <c r="AB14" s="9">
        <v>418038</v>
      </c>
    </row>
    <row r="15" spans="1:28" ht="55.5" x14ac:dyDescent="1.45">
      <c r="A15" s="7">
        <v>12</v>
      </c>
      <c r="B15" s="7" t="s">
        <v>38</v>
      </c>
      <c r="C15" s="8">
        <v>2.0760462022212747</v>
      </c>
      <c r="D15" s="7">
        <v>131306.75611172468</v>
      </c>
      <c r="E15" s="7">
        <v>44857.904715070763</v>
      </c>
      <c r="F15" s="7">
        <v>14852.808873174252</v>
      </c>
      <c r="G15" s="7">
        <v>59710.713588245017</v>
      </c>
      <c r="H15" s="7">
        <v>1896.8509104655755</v>
      </c>
      <c r="I15" s="7">
        <v>798.05050151658281</v>
      </c>
      <c r="J15" s="9">
        <v>2694.9014119821582</v>
      </c>
      <c r="K15" s="9">
        <v>62405.615000227175</v>
      </c>
      <c r="L15" s="10">
        <v>1.7743357299295961</v>
      </c>
      <c r="M15" s="9">
        <v>2581.5316489627298</v>
      </c>
      <c r="N15" s="9">
        <v>0</v>
      </c>
      <c r="O15" s="9">
        <v>2581.5316489627298</v>
      </c>
      <c r="P15" s="9">
        <v>5063.9508061760034</v>
      </c>
      <c r="Q15" s="9">
        <v>107.13119557823129</v>
      </c>
      <c r="R15" s="9">
        <v>2607.7064</v>
      </c>
      <c r="S15" s="9">
        <v>7752.6136507169649</v>
      </c>
      <c r="T15" s="9">
        <v>205.66030372816661</v>
      </c>
      <c r="U15" s="9">
        <v>1035.8599999999999</v>
      </c>
      <c r="V15" s="9">
        <v>0</v>
      </c>
      <c r="W15" s="9">
        <v>1035.8599999999999</v>
      </c>
      <c r="X15" s="11">
        <v>2.1467283294011272</v>
      </c>
      <c r="Y15" s="9">
        <v>11601.840354445132</v>
      </c>
      <c r="Z15" s="9">
        <v>64318</v>
      </c>
      <c r="AA15" s="9">
        <v>0</v>
      </c>
      <c r="AB15" s="9">
        <v>64318</v>
      </c>
    </row>
    <row r="16" spans="1:28" ht="55.5" x14ac:dyDescent="1.45">
      <c r="A16" s="7">
        <v>13</v>
      </c>
      <c r="B16" s="7" t="s">
        <v>39</v>
      </c>
      <c r="C16" s="8">
        <v>1.190229271122879</v>
      </c>
      <c r="D16" s="7">
        <v>75280.186179454831</v>
      </c>
      <c r="E16" s="7">
        <v>7435.2878319936399</v>
      </c>
      <c r="F16" s="7">
        <v>2461.882911988469</v>
      </c>
      <c r="G16" s="7">
        <v>9897.1707439821093</v>
      </c>
      <c r="H16" s="7">
        <v>5476.1448103138218</v>
      </c>
      <c r="I16" s="7">
        <v>2303.9449690728288</v>
      </c>
      <c r="J16" s="9">
        <v>7780.0897793866498</v>
      </c>
      <c r="K16" s="9">
        <v>17677.260523368757</v>
      </c>
      <c r="L16" s="10">
        <v>0.50260533373115479</v>
      </c>
      <c r="M16" s="9">
        <v>2610.9991207738758</v>
      </c>
      <c r="N16" s="9">
        <v>0</v>
      </c>
      <c r="O16" s="9">
        <v>2610.9991207738758</v>
      </c>
      <c r="P16" s="9">
        <v>6039.8675392108962</v>
      </c>
      <c r="Q16" s="9">
        <v>107.13119557823129</v>
      </c>
      <c r="R16" s="9">
        <v>1043.0825600000001</v>
      </c>
      <c r="S16" s="9">
        <v>8757.9978555630041</v>
      </c>
      <c r="T16" s="9">
        <v>0</v>
      </c>
      <c r="U16" s="9">
        <v>206.05102554959998</v>
      </c>
      <c r="V16" s="9">
        <v>0</v>
      </c>
      <c r="W16" s="9">
        <v>206.05102554959998</v>
      </c>
      <c r="X16" s="11">
        <v>1.8516538673492697</v>
      </c>
      <c r="Y16" s="9">
        <v>10007.131441112604</v>
      </c>
      <c r="Z16" s="9">
        <v>27995</v>
      </c>
      <c r="AA16" s="9">
        <v>0</v>
      </c>
      <c r="AB16" s="9">
        <v>27995</v>
      </c>
    </row>
    <row r="17" spans="1:28" ht="55.5" x14ac:dyDescent="1.45">
      <c r="A17" s="7">
        <v>14</v>
      </c>
      <c r="B17" s="7" t="s">
        <v>40</v>
      </c>
      <c r="C17" s="8">
        <v>9.947732775214547</v>
      </c>
      <c r="D17" s="7">
        <v>629178.92674167245</v>
      </c>
      <c r="E17" s="7">
        <v>206280.19487575683</v>
      </c>
      <c r="F17" s="7">
        <v>68301.012458600337</v>
      </c>
      <c r="G17" s="7">
        <v>274581.2073343572</v>
      </c>
      <c r="H17" s="7">
        <v>101971.51822525714</v>
      </c>
      <c r="I17" s="7">
        <v>42901.854231706471</v>
      </c>
      <c r="J17" s="9">
        <v>144873.37245696361</v>
      </c>
      <c r="K17" s="9">
        <v>419454.57979132084</v>
      </c>
      <c r="L17" s="10">
        <v>11.926062230195729</v>
      </c>
      <c r="M17" s="9">
        <v>6963.2485130822724</v>
      </c>
      <c r="N17" s="9">
        <v>892.24999235954613</v>
      </c>
      <c r="O17" s="9">
        <v>7855.4985054418185</v>
      </c>
      <c r="P17" s="9">
        <v>12324.349713759837</v>
      </c>
      <c r="Q17" s="9">
        <v>964.18076020408171</v>
      </c>
      <c r="R17" s="9">
        <v>12887.496699772433</v>
      </c>
      <c r="S17" s="9">
        <v>21144.028979405735</v>
      </c>
      <c r="T17" s="9">
        <v>0</v>
      </c>
      <c r="U17" s="9">
        <v>2388.5651777525995</v>
      </c>
      <c r="V17" s="9">
        <v>5731.7141851199985</v>
      </c>
      <c r="W17" s="9">
        <v>8120.2793628725976</v>
      </c>
      <c r="X17" s="11">
        <v>7.7994931195975186</v>
      </c>
      <c r="Y17" s="9">
        <v>42151.805042050764</v>
      </c>
      <c r="Z17" s="9">
        <v>84083</v>
      </c>
      <c r="AA17" s="9">
        <v>39485</v>
      </c>
      <c r="AB17" s="9">
        <v>123568</v>
      </c>
    </row>
    <row r="18" spans="1:28" ht="55.5" x14ac:dyDescent="1.45">
      <c r="A18" s="7">
        <v>15</v>
      </c>
      <c r="B18" s="7" t="s">
        <v>41</v>
      </c>
      <c r="C18" s="8">
        <v>5.5012899883515196</v>
      </c>
      <c r="D18" s="7">
        <v>347948.20174399641</v>
      </c>
      <c r="E18" s="7">
        <v>100756.72401726583</v>
      </c>
      <c r="F18" s="7">
        <v>33361.352341827813</v>
      </c>
      <c r="G18" s="7">
        <v>134118.07635909365</v>
      </c>
      <c r="H18" s="7">
        <v>1376.7510906245261</v>
      </c>
      <c r="I18" s="7">
        <v>579.23208000924501</v>
      </c>
      <c r="J18" s="9">
        <v>1955.9831706337709</v>
      </c>
      <c r="K18" s="9">
        <v>136074.05952972741</v>
      </c>
      <c r="L18" s="10">
        <v>3.8688997094137014</v>
      </c>
      <c r="M18" s="9">
        <v>10332.429582915465</v>
      </c>
      <c r="N18" s="9">
        <v>0</v>
      </c>
      <c r="O18" s="9">
        <v>10332.429582915465</v>
      </c>
      <c r="P18" s="9">
        <v>12946.827754454816</v>
      </c>
      <c r="Q18" s="9">
        <v>214.26239115646257</v>
      </c>
      <c r="R18" s="9">
        <v>11610.114930126541</v>
      </c>
      <c r="S18" s="9">
        <v>23493.519728526742</v>
      </c>
      <c r="T18" s="9">
        <v>417.81866917022001</v>
      </c>
      <c r="U18" s="9">
        <v>1462.2392953475999</v>
      </c>
      <c r="V18" s="9">
        <v>0</v>
      </c>
      <c r="W18" s="9">
        <v>1462.2392953475999</v>
      </c>
      <c r="X18" s="11">
        <v>6.8432195457340415</v>
      </c>
      <c r="Y18" s="9">
        <v>36983.692623171104</v>
      </c>
      <c r="Z18" s="9">
        <v>12493</v>
      </c>
      <c r="AA18" s="9">
        <v>0</v>
      </c>
      <c r="AB18" s="9">
        <v>12493</v>
      </c>
    </row>
    <row r="19" spans="1:28" ht="55.5" x14ac:dyDescent="1.45">
      <c r="A19" s="7">
        <v>16</v>
      </c>
      <c r="B19" s="7" t="s">
        <v>42</v>
      </c>
      <c r="C19" s="8">
        <v>1.8050886982038883</v>
      </c>
      <c r="D19" s="7">
        <v>114169.10722000676</v>
      </c>
      <c r="E19" s="7">
        <v>46457.541662073723</v>
      </c>
      <c r="F19" s="7">
        <v>15382.461383500278</v>
      </c>
      <c r="G19" s="7">
        <v>61840.003045574005</v>
      </c>
      <c r="H19" s="7">
        <v>2580.1499125575642</v>
      </c>
      <c r="I19" s="7">
        <v>1085.5307184891694</v>
      </c>
      <c r="J19" s="9">
        <v>3665.6806310467332</v>
      </c>
      <c r="K19" s="9">
        <v>65505.683676620742</v>
      </c>
      <c r="L19" s="10">
        <v>1.8624778405031499</v>
      </c>
      <c r="M19" s="9">
        <v>2011.8023888816492</v>
      </c>
      <c r="N19" s="9">
        <v>0</v>
      </c>
      <c r="O19" s="9">
        <v>2011.8023888816492</v>
      </c>
      <c r="P19" s="9">
        <v>5324.4529726112887</v>
      </c>
      <c r="Q19" s="9">
        <v>0</v>
      </c>
      <c r="R19" s="9">
        <v>0</v>
      </c>
      <c r="S19" s="9">
        <v>7336.2553614929384</v>
      </c>
      <c r="T19" s="9">
        <v>132.6408473556254</v>
      </c>
      <c r="U19" s="9">
        <v>652.49491424039991</v>
      </c>
      <c r="V19" s="9">
        <v>133.23067757999999</v>
      </c>
      <c r="W19" s="9">
        <v>785.72559182039993</v>
      </c>
      <c r="X19" s="11">
        <v>1.5273809953089723</v>
      </c>
      <c r="Y19" s="9">
        <v>8254.6218006689633</v>
      </c>
      <c r="Z19" s="9">
        <v>64608</v>
      </c>
      <c r="AA19" s="9">
        <v>1852</v>
      </c>
      <c r="AB19" s="9">
        <v>66460</v>
      </c>
    </row>
    <row r="20" spans="1:28" ht="55.5" x14ac:dyDescent="1.45">
      <c r="A20" s="7">
        <v>17</v>
      </c>
      <c r="B20" s="7" t="s">
        <v>43</v>
      </c>
      <c r="C20" s="8">
        <v>3.6640798411107789</v>
      </c>
      <c r="D20" s="7">
        <v>231747.46186084163</v>
      </c>
      <c r="E20" s="7">
        <v>62980.727004490727</v>
      </c>
      <c r="F20" s="7">
        <v>20853.419410313832</v>
      </c>
      <c r="G20" s="7">
        <v>83834.146414804563</v>
      </c>
      <c r="H20" s="7">
        <v>5536.3769747011092</v>
      </c>
      <c r="I20" s="7">
        <v>2329.2860798219631</v>
      </c>
      <c r="J20" s="9">
        <v>7865.6630545230719</v>
      </c>
      <c r="K20" s="9">
        <v>91699.809469327636</v>
      </c>
      <c r="L20" s="10">
        <v>2.607237319407429</v>
      </c>
      <c r="M20" s="9">
        <v>5738.7879673393481</v>
      </c>
      <c r="N20" s="9">
        <v>735.35125313875028</v>
      </c>
      <c r="O20" s="9">
        <v>6474.1392204780987</v>
      </c>
      <c r="P20" s="9">
        <v>12696.405554175226</v>
      </c>
      <c r="Q20" s="9">
        <v>428.52478231292514</v>
      </c>
      <c r="R20" s="9">
        <v>1079.4672935488604</v>
      </c>
      <c r="S20" s="9">
        <v>19599.069556966249</v>
      </c>
      <c r="T20" s="9">
        <v>141.92570667051916</v>
      </c>
      <c r="U20" s="9">
        <v>1091.7089423856</v>
      </c>
      <c r="V20" s="9">
        <v>2440.0779341399993</v>
      </c>
      <c r="W20" s="9">
        <v>3531.7868765255994</v>
      </c>
      <c r="X20" s="11">
        <v>4.5059802709628531</v>
      </c>
      <c r="Y20" s="9">
        <v>24352.249433711226</v>
      </c>
      <c r="Z20" s="9">
        <v>141421</v>
      </c>
      <c r="AA20" s="9">
        <v>4322</v>
      </c>
      <c r="AB20" s="9">
        <v>145743</v>
      </c>
    </row>
    <row r="21" spans="1:28" ht="55.5" x14ac:dyDescent="1.45">
      <c r="A21" s="7">
        <v>18</v>
      </c>
      <c r="B21" s="7" t="s">
        <v>44</v>
      </c>
      <c r="C21" s="8">
        <v>4.0134705011524909</v>
      </c>
      <c r="D21" s="7">
        <v>253845.88825266511</v>
      </c>
      <c r="E21" s="7">
        <v>29659.700648374055</v>
      </c>
      <c r="F21" s="7">
        <v>9820.5626804022104</v>
      </c>
      <c r="G21" s="7">
        <v>39480.263328776266</v>
      </c>
      <c r="H21" s="7">
        <v>1134.433254183607</v>
      </c>
      <c r="I21" s="7">
        <v>477.28317625980696</v>
      </c>
      <c r="J21" s="9">
        <v>1611.7164304434139</v>
      </c>
      <c r="K21" s="9">
        <v>41091.979759219677</v>
      </c>
      <c r="L21" s="10">
        <v>1.168339866533834</v>
      </c>
      <c r="M21" s="9">
        <v>13939.704309439208</v>
      </c>
      <c r="N21" s="9">
        <v>0</v>
      </c>
      <c r="O21" s="9">
        <v>13939.704309439208</v>
      </c>
      <c r="P21" s="9">
        <v>12197.946126952042</v>
      </c>
      <c r="Q21" s="9">
        <v>535.65597789115645</v>
      </c>
      <c r="R21" s="9">
        <v>10952.36688</v>
      </c>
      <c r="S21" s="9">
        <v>26673.306414282408</v>
      </c>
      <c r="T21" s="9">
        <v>0</v>
      </c>
      <c r="U21" s="9">
        <v>97.603117365599985</v>
      </c>
      <c r="V21" s="9">
        <v>0</v>
      </c>
      <c r="W21" s="9">
        <v>97.603117365599985</v>
      </c>
      <c r="X21" s="11">
        <v>6.9800672718002668</v>
      </c>
      <c r="Y21" s="9">
        <v>37723.27641164801</v>
      </c>
      <c r="Z21" s="9">
        <v>34826</v>
      </c>
      <c r="AA21" s="9">
        <v>0</v>
      </c>
      <c r="AB21" s="9">
        <v>34826</v>
      </c>
    </row>
    <row r="22" spans="1:28" s="12" customFormat="1" ht="55.5" x14ac:dyDescent="0.2">
      <c r="A22" s="7">
        <v>19</v>
      </c>
      <c r="B22" s="7" t="s">
        <v>45</v>
      </c>
      <c r="C22" s="7">
        <v>8.0474224750465488</v>
      </c>
      <c r="D22" s="7">
        <v>508987.19841993332</v>
      </c>
      <c r="E22" s="7">
        <v>164764.18914732008</v>
      </c>
      <c r="F22" s="7">
        <v>54554.732908122096</v>
      </c>
      <c r="G22" s="7">
        <v>219318.92205544218</v>
      </c>
      <c r="H22" s="7">
        <v>12447.280344292893</v>
      </c>
      <c r="I22" s="7">
        <v>5236.8682570009096</v>
      </c>
      <c r="J22" s="7">
        <v>17684.1486012938</v>
      </c>
      <c r="K22" s="7">
        <v>237003.07065673597</v>
      </c>
      <c r="L22" s="7">
        <v>6.7385445423099268</v>
      </c>
      <c r="M22" s="7">
        <v>13131.766059938176</v>
      </c>
      <c r="N22" s="7">
        <v>1682.6655180601549</v>
      </c>
      <c r="O22" s="7">
        <v>14814.431577998332</v>
      </c>
      <c r="P22" s="7">
        <v>17302.98155265169</v>
      </c>
      <c r="Q22" s="7">
        <v>428.52478231292514</v>
      </c>
      <c r="R22" s="7">
        <v>9428.0764075633615</v>
      </c>
      <c r="S22" s="7">
        <v>32545.937912962945</v>
      </c>
      <c r="T22" s="7">
        <v>1525.3697445896919</v>
      </c>
      <c r="U22" s="7">
        <v>1033.8700580208001</v>
      </c>
      <c r="V22" s="7">
        <v>3695.0550159599998</v>
      </c>
      <c r="W22" s="7">
        <v>4728.9250739807994</v>
      </c>
      <c r="X22" s="7">
        <v>8.923849522575674</v>
      </c>
      <c r="Y22" s="7">
        <v>48228.309139096804</v>
      </c>
      <c r="Z22" s="7">
        <v>218744</v>
      </c>
      <c r="AA22" s="7">
        <v>22628</v>
      </c>
      <c r="AB22" s="7">
        <v>241372</v>
      </c>
    </row>
    <row r="23" spans="1:28" ht="55.5" x14ac:dyDescent="1.45">
      <c r="A23" s="7">
        <v>20</v>
      </c>
      <c r="B23" s="7" t="s">
        <v>46</v>
      </c>
      <c r="C23" s="8">
        <v>4.7569093173093675</v>
      </c>
      <c r="D23" s="7">
        <v>300867.25955579558</v>
      </c>
      <c r="E23" s="7">
        <v>74045.562967537888</v>
      </c>
      <c r="F23" s="7">
        <v>24517.074563537037</v>
      </c>
      <c r="G23" s="7">
        <v>98562.637531074928</v>
      </c>
      <c r="H23" s="7">
        <v>13001.685292507713</v>
      </c>
      <c r="I23" s="7">
        <v>5470.1196657041464</v>
      </c>
      <c r="J23" s="9">
        <v>18471.804958211858</v>
      </c>
      <c r="K23" s="9">
        <v>117034.44248928678</v>
      </c>
      <c r="L23" s="10">
        <v>3.3275594342011701</v>
      </c>
      <c r="M23" s="9">
        <v>8710.0965163760266</v>
      </c>
      <c r="N23" s="9">
        <v>1116.0859095559319</v>
      </c>
      <c r="O23" s="9">
        <v>9826.1824259319583</v>
      </c>
      <c r="P23" s="9">
        <v>10543.967118438748</v>
      </c>
      <c r="Q23" s="9">
        <v>214.26239115646257</v>
      </c>
      <c r="R23" s="9">
        <v>9586.4798793757709</v>
      </c>
      <c r="S23" s="9">
        <v>20584.411935527169</v>
      </c>
      <c r="T23" s="9">
        <v>0</v>
      </c>
      <c r="U23" s="9">
        <v>1019.4103369295997</v>
      </c>
      <c r="V23" s="9">
        <v>1659.3275298600001</v>
      </c>
      <c r="W23" s="9">
        <v>2678.7378667896</v>
      </c>
      <c r="X23" s="11">
        <v>6.0782796947388391</v>
      </c>
      <c r="Y23" s="9">
        <v>32849.629681692539</v>
      </c>
      <c r="Z23" s="9">
        <v>93382</v>
      </c>
      <c r="AA23" s="9">
        <v>11826</v>
      </c>
      <c r="AB23" s="9">
        <v>105208</v>
      </c>
    </row>
    <row r="24" spans="1:28" ht="55.5" x14ac:dyDescent="1.45">
      <c r="A24" s="7">
        <v>21</v>
      </c>
      <c r="B24" s="7" t="s">
        <v>47</v>
      </c>
      <c r="C24" s="8">
        <v>2.1165919729596503</v>
      </c>
      <c r="D24" s="7">
        <v>133871.21427455815</v>
      </c>
      <c r="E24" s="7">
        <v>34709.059811554922</v>
      </c>
      <c r="F24" s="7">
        <v>11492.445641924929</v>
      </c>
      <c r="G24" s="7">
        <v>46201.505453479855</v>
      </c>
      <c r="H24" s="7">
        <v>4333.4141327304742</v>
      </c>
      <c r="I24" s="7">
        <v>1823.1708685295564</v>
      </c>
      <c r="J24" s="9">
        <v>6156.5850012600304</v>
      </c>
      <c r="K24" s="9">
        <v>52358.090454739882</v>
      </c>
      <c r="L24" s="10">
        <v>1.4886614072210094</v>
      </c>
      <c r="M24" s="9">
        <v>2436.1603767848146</v>
      </c>
      <c r="N24" s="9">
        <v>0</v>
      </c>
      <c r="O24" s="9">
        <v>2436.1603767848146</v>
      </c>
      <c r="P24" s="9">
        <v>3400.4005060359264</v>
      </c>
      <c r="Q24" s="9">
        <v>107.13119557823129</v>
      </c>
      <c r="R24" s="9">
        <v>6571.4201280000007</v>
      </c>
      <c r="S24" s="9">
        <v>5943.6920783989717</v>
      </c>
      <c r="T24" s="9">
        <v>8.7087425031471213</v>
      </c>
      <c r="U24" s="9">
        <v>1241.6600000000001</v>
      </c>
      <c r="V24" s="9">
        <v>0</v>
      </c>
      <c r="W24" s="9">
        <v>1241.6600000000001</v>
      </c>
      <c r="X24" s="11">
        <v>2.5470741725486343</v>
      </c>
      <c r="Y24" s="9">
        <v>13765.480948902121</v>
      </c>
      <c r="Z24" s="9">
        <v>45942</v>
      </c>
      <c r="AA24" s="9">
        <v>0</v>
      </c>
      <c r="AB24" s="9">
        <v>45942</v>
      </c>
    </row>
    <row r="25" spans="1:28" ht="55.5" x14ac:dyDescent="1.45">
      <c r="A25" s="7">
        <v>22</v>
      </c>
      <c r="B25" s="7" t="s">
        <v>48</v>
      </c>
      <c r="C25" s="8">
        <v>2.4934454760582629</v>
      </c>
      <c r="D25" s="7">
        <v>157706.62360613933</v>
      </c>
      <c r="E25" s="7">
        <v>44204.693523407273</v>
      </c>
      <c r="F25" s="7">
        <v>14636.52545456115</v>
      </c>
      <c r="G25" s="7">
        <v>58841.218977968427</v>
      </c>
      <c r="H25" s="7">
        <v>9377.1505177051349</v>
      </c>
      <c r="I25" s="7">
        <v>3945.191281066092</v>
      </c>
      <c r="J25" s="9">
        <v>13322.341798771226</v>
      </c>
      <c r="K25" s="9">
        <v>72163.560776739658</v>
      </c>
      <c r="L25" s="10">
        <v>2.0517766595946378</v>
      </c>
      <c r="M25" s="9">
        <v>1122.0539709708735</v>
      </c>
      <c r="N25" s="9">
        <v>143.77666474847695</v>
      </c>
      <c r="O25" s="9">
        <v>1265.8306357193505</v>
      </c>
      <c r="P25" s="9">
        <v>8372.4488960143026</v>
      </c>
      <c r="Q25" s="9">
        <v>160.69679336734691</v>
      </c>
      <c r="R25" s="9">
        <v>1581.2293820053874</v>
      </c>
      <c r="S25" s="9">
        <v>9798.9763251010008</v>
      </c>
      <c r="T25" s="9">
        <v>0</v>
      </c>
      <c r="U25" s="9">
        <v>647.9762513994001</v>
      </c>
      <c r="V25" s="9">
        <v>2832.3165024</v>
      </c>
      <c r="W25" s="9">
        <v>3480.2927537994001</v>
      </c>
      <c r="X25" s="11">
        <v>2.7496890200549582</v>
      </c>
      <c r="Y25" s="9">
        <v>14860.498460905788</v>
      </c>
      <c r="Z25" s="9">
        <v>43019</v>
      </c>
      <c r="AA25" s="9">
        <v>5068</v>
      </c>
      <c r="AB25" s="9">
        <v>48087</v>
      </c>
    </row>
    <row r="26" spans="1:28" ht="55.5" x14ac:dyDescent="1.45">
      <c r="A26" s="7">
        <v>23</v>
      </c>
      <c r="B26" s="7" t="s">
        <v>49</v>
      </c>
      <c r="C26" s="8">
        <v>1.9687151006015879</v>
      </c>
      <c r="D26" s="7">
        <v>124518.22762497916</v>
      </c>
      <c r="E26" s="7">
        <v>41768.344754042315</v>
      </c>
      <c r="F26" s="7">
        <v>13829.831007960893</v>
      </c>
      <c r="G26" s="7">
        <v>55598.175762003208</v>
      </c>
      <c r="H26" s="7">
        <v>40086.444431192314</v>
      </c>
      <c r="I26" s="7">
        <v>16865.325000412169</v>
      </c>
      <c r="J26" s="9">
        <v>56951.76943160448</v>
      </c>
      <c r="K26" s="9">
        <v>112549.94519360768</v>
      </c>
      <c r="L26" s="10">
        <v>3.2000548213155011</v>
      </c>
      <c r="M26" s="9">
        <v>2099.7457639769432</v>
      </c>
      <c r="N26" s="9">
        <v>269.05518858698838</v>
      </c>
      <c r="O26" s="9">
        <v>2368.8009525639318</v>
      </c>
      <c r="P26" s="9">
        <v>642.75031405094819</v>
      </c>
      <c r="Q26" s="9">
        <v>0</v>
      </c>
      <c r="R26" s="9">
        <v>0</v>
      </c>
      <c r="S26" s="9">
        <v>3011.5512666148798</v>
      </c>
      <c r="T26" s="9">
        <v>0</v>
      </c>
      <c r="U26" s="9">
        <v>1042.0036511346</v>
      </c>
      <c r="V26" s="9">
        <v>1168.33055724</v>
      </c>
      <c r="W26" s="9">
        <v>2210.3342083746002</v>
      </c>
      <c r="X26" s="11">
        <v>0.96622338694336429</v>
      </c>
      <c r="Y26" s="9">
        <v>5221.8854749894799</v>
      </c>
      <c r="Z26" s="9">
        <v>55689</v>
      </c>
      <c r="AA26" s="9">
        <v>9477</v>
      </c>
      <c r="AB26" s="9">
        <v>65166</v>
      </c>
    </row>
    <row r="27" spans="1:28" ht="55.5" x14ac:dyDescent="1.45">
      <c r="A27" s="7">
        <v>24</v>
      </c>
      <c r="B27" s="7" t="s">
        <v>50</v>
      </c>
      <c r="C27" s="8">
        <v>6.4279318860192696</v>
      </c>
      <c r="D27" s="7">
        <v>406556.88854960754</v>
      </c>
      <c r="E27" s="7">
        <v>129273.48480058204</v>
      </c>
      <c r="F27" s="7">
        <v>42803.478546494851</v>
      </c>
      <c r="G27" s="7">
        <v>172076.9633470769</v>
      </c>
      <c r="H27" s="7">
        <v>96419.870806468476</v>
      </c>
      <c r="I27" s="7">
        <v>40566.143511183858</v>
      </c>
      <c r="J27" s="9">
        <v>136986.01431765233</v>
      </c>
      <c r="K27" s="9">
        <v>309062.97766472923</v>
      </c>
      <c r="L27" s="10">
        <v>8.7873740859210425</v>
      </c>
      <c r="M27" s="9">
        <v>7062.0163595442</v>
      </c>
      <c r="N27" s="9">
        <v>904.90581098866119</v>
      </c>
      <c r="O27" s="9">
        <v>7966.9221705328609</v>
      </c>
      <c r="P27" s="9">
        <v>7197.8495280362231</v>
      </c>
      <c r="Q27" s="9">
        <v>428.52478231292514</v>
      </c>
      <c r="R27" s="9">
        <v>621.94851529445725</v>
      </c>
      <c r="S27" s="9">
        <v>15593.296480882009</v>
      </c>
      <c r="T27" s="9">
        <v>0</v>
      </c>
      <c r="U27" s="9">
        <v>4186.9929884705998</v>
      </c>
      <c r="V27" s="9">
        <v>4794.4410267600006</v>
      </c>
      <c r="W27" s="9">
        <v>8981.4340152305995</v>
      </c>
      <c r="X27" s="11">
        <v>4.6622279731585952</v>
      </c>
      <c r="Y27" s="9">
        <v>25196.679011407065</v>
      </c>
      <c r="Z27" s="9">
        <v>97331</v>
      </c>
      <c r="AA27" s="9">
        <v>16584</v>
      </c>
      <c r="AB27" s="9">
        <v>113915</v>
      </c>
    </row>
    <row r="28" spans="1:28" ht="55.5" x14ac:dyDescent="1.45">
      <c r="A28" s="7">
        <v>25</v>
      </c>
      <c r="B28" s="7" t="s">
        <v>51</v>
      </c>
      <c r="C28" s="8">
        <v>1.7801568782149273</v>
      </c>
      <c r="D28" s="7">
        <v>112592.20762923214</v>
      </c>
      <c r="E28" s="7">
        <v>40637.289857570759</v>
      </c>
      <c r="F28" s="7">
        <v>13455.329739810582</v>
      </c>
      <c r="G28" s="7">
        <v>54092.619597381345</v>
      </c>
      <c r="H28" s="7">
        <v>10661.015382913065</v>
      </c>
      <c r="I28" s="7">
        <v>4485.343906612834</v>
      </c>
      <c r="J28" s="9">
        <v>15146.359289525897</v>
      </c>
      <c r="K28" s="9">
        <v>69238.978886907236</v>
      </c>
      <c r="L28" s="10">
        <v>1.968624043564561</v>
      </c>
      <c r="M28" s="9">
        <v>796.55787355232553</v>
      </c>
      <c r="N28" s="9">
        <v>102.06856114006416</v>
      </c>
      <c r="O28" s="9">
        <v>898.62643469238969</v>
      </c>
      <c r="P28" s="9">
        <v>5252.9037725314047</v>
      </c>
      <c r="Q28" s="9">
        <v>53.565597789115643</v>
      </c>
      <c r="R28" s="9">
        <v>0</v>
      </c>
      <c r="S28" s="9">
        <v>6205.0958050129102</v>
      </c>
      <c r="T28" s="9">
        <v>0</v>
      </c>
      <c r="U28" s="9">
        <v>966.09011540579991</v>
      </c>
      <c r="V28" s="9">
        <v>752.7999124800001</v>
      </c>
      <c r="W28" s="9">
        <v>1718.8900278858</v>
      </c>
      <c r="X28" s="11">
        <v>1.46620228770338</v>
      </c>
      <c r="Y28" s="9">
        <v>7923.9858328987102</v>
      </c>
      <c r="Z28" s="9">
        <v>27508</v>
      </c>
      <c r="AA28" s="9">
        <v>1431</v>
      </c>
      <c r="AB28" s="9">
        <v>28939</v>
      </c>
    </row>
    <row r="29" spans="1:28" ht="55.5" x14ac:dyDescent="1.45">
      <c r="A29" s="7">
        <v>26</v>
      </c>
      <c r="B29" s="7" t="s">
        <v>52</v>
      </c>
      <c r="C29" s="8">
        <v>1.1643780090886366</v>
      </c>
      <c r="D29" s="7">
        <v>73645.133281557544</v>
      </c>
      <c r="E29" s="7">
        <v>28251.001390764668</v>
      </c>
      <c r="F29" s="7">
        <v>9354.1311569961417</v>
      </c>
      <c r="G29" s="7">
        <v>37605.132547760812</v>
      </c>
      <c r="H29" s="7">
        <v>8961.546697734253</v>
      </c>
      <c r="I29" s="7">
        <v>3770.3368235386097</v>
      </c>
      <c r="J29" s="9">
        <v>12731.883521272863</v>
      </c>
      <c r="K29" s="9">
        <v>50337.016069033678</v>
      </c>
      <c r="L29" s="10">
        <v>1.4311975957452154</v>
      </c>
      <c r="M29" s="9">
        <v>2248.457991959322</v>
      </c>
      <c r="N29" s="9">
        <v>0</v>
      </c>
      <c r="O29" s="9">
        <v>2248.457991959322</v>
      </c>
      <c r="P29" s="9">
        <v>1491.8008216655589</v>
      </c>
      <c r="Q29" s="9">
        <v>0</v>
      </c>
      <c r="R29" s="9">
        <v>0</v>
      </c>
      <c r="S29" s="9">
        <v>3740.258813624881</v>
      </c>
      <c r="T29" s="9">
        <v>569.69243939241107</v>
      </c>
      <c r="U29" s="9">
        <v>195.20623473119997</v>
      </c>
      <c r="V29" s="9">
        <v>464.90984693999997</v>
      </c>
      <c r="W29" s="9">
        <v>660.11608167119994</v>
      </c>
      <c r="X29" s="11">
        <v>0.9196286123967452</v>
      </c>
      <c r="Y29" s="9">
        <v>4970.0673346884923</v>
      </c>
      <c r="Z29" s="9">
        <v>41233</v>
      </c>
      <c r="AA29" s="9">
        <v>1185</v>
      </c>
      <c r="AB29" s="9">
        <v>42418</v>
      </c>
    </row>
    <row r="30" spans="1:28" ht="55.5" x14ac:dyDescent="1.45">
      <c r="A30" s="7">
        <v>27</v>
      </c>
      <c r="B30" s="7" t="s">
        <v>53</v>
      </c>
      <c r="C30" s="8">
        <v>2.1232962609313097</v>
      </c>
      <c r="D30" s="7">
        <v>134295.25026405376</v>
      </c>
      <c r="E30" s="7">
        <v>39294.949367570895</v>
      </c>
      <c r="F30" s="7">
        <v>13010.870131914702</v>
      </c>
      <c r="G30" s="7">
        <v>52305.819499485595</v>
      </c>
      <c r="H30" s="7">
        <v>550.53969473309985</v>
      </c>
      <c r="I30" s="7">
        <v>231.62520420684919</v>
      </c>
      <c r="J30" s="9">
        <v>782.16489893994901</v>
      </c>
      <c r="K30" s="9">
        <v>53087.984398425542</v>
      </c>
      <c r="L30" s="10">
        <v>1.5094139773757298</v>
      </c>
      <c r="M30" s="9">
        <v>4339.7582824573556</v>
      </c>
      <c r="N30" s="9">
        <v>0</v>
      </c>
      <c r="O30" s="9">
        <v>4339.7582824573556</v>
      </c>
      <c r="P30" s="9">
        <v>4790.2189453481624</v>
      </c>
      <c r="Q30" s="9">
        <v>0</v>
      </c>
      <c r="R30" s="9">
        <v>3134.9152212176691</v>
      </c>
      <c r="S30" s="9">
        <v>9129.977227805517</v>
      </c>
      <c r="T30" s="9">
        <v>1545.2658716930355</v>
      </c>
      <c r="U30" s="9">
        <v>739.25324078759991</v>
      </c>
      <c r="V30" s="9">
        <v>0</v>
      </c>
      <c r="W30" s="9">
        <v>739.25324078759991</v>
      </c>
      <c r="X30" s="11">
        <v>2.6921275436469592</v>
      </c>
      <c r="Y30" s="9">
        <v>14549.411561503821</v>
      </c>
      <c r="Z30" s="9">
        <v>17620</v>
      </c>
      <c r="AA30" s="9">
        <v>0</v>
      </c>
      <c r="AB30" s="9">
        <v>17620</v>
      </c>
    </row>
    <row r="31" spans="1:28" ht="55.5" x14ac:dyDescent="1.45">
      <c r="A31" s="7" t="s">
        <v>5</v>
      </c>
      <c r="B31" s="7"/>
      <c r="C31" s="8">
        <f>D31/D$31*100</f>
        <v>100</v>
      </c>
      <c r="D31" s="7">
        <f>SUM(D4:D30)</f>
        <v>6324847.4899658998</v>
      </c>
      <c r="E31" s="7">
        <v>1783686.97201163</v>
      </c>
      <c r="F31" s="7">
        <v>590592.93681095541</v>
      </c>
      <c r="G31" s="7">
        <v>2374279.9088225854</v>
      </c>
      <c r="H31" s="7">
        <v>804410.7859712597</v>
      </c>
      <c r="I31" s="7">
        <v>338434.83830373647</v>
      </c>
      <c r="J31" s="9">
        <v>1142845.6242749961</v>
      </c>
      <c r="K31" s="9">
        <f t="shared" ref="K31" si="0">J31+G31</f>
        <v>3517125.5330975815</v>
      </c>
      <c r="L31" s="10">
        <f>K31/K$31*100</f>
        <v>100</v>
      </c>
      <c r="M31" s="9">
        <f>SUM(M4:M30)</f>
        <v>159687.51126631378</v>
      </c>
      <c r="N31" s="9">
        <f>SUM(N4:N30)</f>
        <v>10055.798761686283</v>
      </c>
      <c r="O31" s="9">
        <f t="shared" ref="O31" si="1">M31+N31</f>
        <v>169743.31002800007</v>
      </c>
      <c r="P31" s="9">
        <v>187980.65894100998</v>
      </c>
      <c r="Q31" s="13">
        <v>15748.285750000001</v>
      </c>
      <c r="R31" s="13">
        <v>84587.359216459532</v>
      </c>
      <c r="S31" s="13">
        <f>SUM(S4:S30)</f>
        <v>373472.25471900991</v>
      </c>
      <c r="T31" s="13">
        <v>5300.0043621000004</v>
      </c>
      <c r="U31" s="13">
        <f>SUM(U4:U30)</f>
        <v>36676.630681544702</v>
      </c>
      <c r="V31" s="13">
        <f>SUM(V4:V30)</f>
        <v>40406.628470669995</v>
      </c>
      <c r="W31" s="13">
        <f>SUM(W4:W30)</f>
        <v>77083.259152214712</v>
      </c>
      <c r="X31" s="11">
        <f>Y31/Y$31*100</f>
        <v>100</v>
      </c>
      <c r="Y31" s="13">
        <f>SUM(Y4:Y30)</f>
        <v>540442.8774497842</v>
      </c>
      <c r="Z31" s="9">
        <v>2368748</v>
      </c>
      <c r="AA31" s="9">
        <v>559617</v>
      </c>
      <c r="AB31" s="9">
        <v>2928365</v>
      </c>
    </row>
    <row r="32" spans="1:28" ht="55.5" x14ac:dyDescent="1.45">
      <c r="A32" s="1"/>
      <c r="B32" s="1"/>
      <c r="C32" s="14"/>
      <c r="D32" s="1"/>
      <c r="E32" s="1">
        <v>75.125387086148876</v>
      </c>
      <c r="F32" s="1">
        <v>24.87461291385112</v>
      </c>
      <c r="G32" s="1"/>
      <c r="H32" s="14">
        <v>0.70386653182626102</v>
      </c>
      <c r="I32" s="14">
        <v>0.29613346817373903</v>
      </c>
      <c r="J32" s="15"/>
      <c r="K32" s="15"/>
      <c r="L32" s="16"/>
      <c r="M32" s="17"/>
      <c r="N32" s="17"/>
      <c r="O32" s="15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5"/>
      <c r="AA32" s="15"/>
      <c r="AB32" s="15"/>
    </row>
    <row r="33" spans="1:28" x14ac:dyDescent="0.2">
      <c r="H33" s="2" t="s">
        <v>54</v>
      </c>
    </row>
    <row r="34" spans="1:28" x14ac:dyDescent="0.2">
      <c r="A34" s="2" t="s">
        <v>15</v>
      </c>
      <c r="B34" s="2" t="s">
        <v>55</v>
      </c>
      <c r="C34" s="19" t="s">
        <v>56</v>
      </c>
      <c r="D34" s="19" t="s">
        <v>57</v>
      </c>
      <c r="E34" s="19" t="s">
        <v>58</v>
      </c>
      <c r="F34" s="19"/>
      <c r="G34" s="19"/>
      <c r="H34" s="19" t="s">
        <v>59</v>
      </c>
      <c r="I34" s="19" t="s">
        <v>12</v>
      </c>
      <c r="J34" s="19" t="s">
        <v>60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2">
      <c r="C35" s="19"/>
      <c r="D35" s="19"/>
      <c r="E35" s="19" t="s">
        <v>61</v>
      </c>
      <c r="F35" s="19" t="s">
        <v>62</v>
      </c>
      <c r="G35" s="19" t="s">
        <v>63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">
      <c r="A36" s="2">
        <v>1</v>
      </c>
      <c r="B36" s="20" t="s">
        <v>64</v>
      </c>
      <c r="C36" s="19">
        <v>1734.5550744846773</v>
      </c>
      <c r="D36" s="19">
        <v>337.98658406748166</v>
      </c>
      <c r="E36" s="19">
        <v>107.13119557823129</v>
      </c>
      <c r="F36" s="19">
        <v>4478.9799250006708</v>
      </c>
      <c r="G36" s="19">
        <v>2049.9430006397993</v>
      </c>
      <c r="H36" s="19">
        <v>765.61678042664187</v>
      </c>
      <c r="I36" s="19">
        <v>0</v>
      </c>
      <c r="J36" s="19">
        <v>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">
      <c r="A37" s="2">
        <v>2</v>
      </c>
      <c r="B37" s="20" t="s">
        <v>65</v>
      </c>
      <c r="C37" s="19">
        <v>38104.197628594222</v>
      </c>
      <c r="D37" s="19">
        <v>22253.430102346243</v>
      </c>
      <c r="E37" s="19">
        <v>428.52478231292514</v>
      </c>
      <c r="F37" s="19">
        <v>3081.3855501069579</v>
      </c>
      <c r="G37" s="19">
        <v>3482.743331506173</v>
      </c>
      <c r="H37" s="19">
        <v>108.05818232164312</v>
      </c>
      <c r="I37" s="19">
        <v>268.59771589514133</v>
      </c>
      <c r="J37" s="19">
        <v>879.78831355800003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">
      <c r="A38" s="2">
        <v>3</v>
      </c>
      <c r="B38" s="20" t="s">
        <v>66</v>
      </c>
      <c r="C38" s="19">
        <v>9243.2841139278225</v>
      </c>
      <c r="D38" s="19">
        <v>8810.3459748701644</v>
      </c>
      <c r="E38" s="19">
        <v>0</v>
      </c>
      <c r="F38" s="19">
        <v>1312.4508267986523</v>
      </c>
      <c r="G38" s="19">
        <v>1046.4083622297508</v>
      </c>
      <c r="H38" s="19">
        <v>0</v>
      </c>
      <c r="I38" s="19">
        <v>45.727932125851858</v>
      </c>
      <c r="J38" s="19">
        <v>505.24706502269987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2">
      <c r="A39" s="2">
        <v>4</v>
      </c>
      <c r="B39" s="20" t="s">
        <v>30</v>
      </c>
      <c r="C39" s="19">
        <v>93968.79717956172</v>
      </c>
      <c r="D39" s="19">
        <v>82784.870866568614</v>
      </c>
      <c r="E39" s="19">
        <v>0</v>
      </c>
      <c r="F39" s="19">
        <v>1192.4866679980487</v>
      </c>
      <c r="G39" s="19">
        <v>2257.1889753738383</v>
      </c>
      <c r="H39" s="19">
        <v>0</v>
      </c>
      <c r="I39" s="19">
        <v>0</v>
      </c>
      <c r="J39" s="19">
        <v>1548.9976218947995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">
      <c r="A40" s="2">
        <v>5</v>
      </c>
      <c r="B40" s="20" t="s">
        <v>67</v>
      </c>
      <c r="C40" s="19">
        <v>154804.19444731585</v>
      </c>
      <c r="D40" s="19">
        <v>74571.138840500571</v>
      </c>
      <c r="E40" s="19">
        <v>321.39358673469383</v>
      </c>
      <c r="F40" s="19">
        <v>4234.5201580610728</v>
      </c>
      <c r="G40" s="19">
        <v>5463.3215979119532</v>
      </c>
      <c r="H40" s="19">
        <v>1398.6761136862212</v>
      </c>
      <c r="I40" s="19">
        <v>0</v>
      </c>
      <c r="J40" s="19">
        <v>8526.9683353931996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">
      <c r="A41" s="2">
        <v>6</v>
      </c>
      <c r="B41" s="20" t="s">
        <v>32</v>
      </c>
      <c r="C41" s="19">
        <v>120736.21303892852</v>
      </c>
      <c r="D41" s="19">
        <v>16517.062397163481</v>
      </c>
      <c r="E41" s="19">
        <v>749.91836904761897</v>
      </c>
      <c r="F41" s="19">
        <v>17423.103266024114</v>
      </c>
      <c r="G41" s="19">
        <v>16260.90932157958</v>
      </c>
      <c r="H41" s="19">
        <v>6673.5836366942549</v>
      </c>
      <c r="I41" s="19">
        <v>61.631100791502703</v>
      </c>
      <c r="J41" s="19">
        <v>3954.6197903072002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">
      <c r="A42" s="2">
        <v>7</v>
      </c>
      <c r="B42" s="20" t="s">
        <v>33</v>
      </c>
      <c r="C42" s="19">
        <v>251184.70234517401</v>
      </c>
      <c r="D42" s="19">
        <v>299215.06025603577</v>
      </c>
      <c r="E42" s="19">
        <v>1071.3119557823129</v>
      </c>
      <c r="F42" s="19">
        <v>6726.8172941769935</v>
      </c>
      <c r="G42" s="19">
        <v>21043.742011088132</v>
      </c>
      <c r="H42" s="19">
        <v>858.45694687999992</v>
      </c>
      <c r="I42" s="19">
        <v>0</v>
      </c>
      <c r="J42" s="19">
        <v>7675.4659195367994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">
      <c r="A43" s="2">
        <v>8</v>
      </c>
      <c r="B43" s="20" t="s">
        <v>68</v>
      </c>
      <c r="C43" s="19">
        <v>65917.597440992162</v>
      </c>
      <c r="D43" s="19">
        <v>95989.726070804943</v>
      </c>
      <c r="E43" s="19">
        <v>4285.2478231292516</v>
      </c>
      <c r="F43" s="19">
        <v>2990.7565633391064</v>
      </c>
      <c r="G43" s="19">
        <v>6560.1852224016529</v>
      </c>
      <c r="H43" s="19">
        <v>0</v>
      </c>
      <c r="I43" s="19">
        <v>0</v>
      </c>
      <c r="J43" s="19">
        <v>5879.4977520971988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">
      <c r="A44" s="2">
        <v>9</v>
      </c>
      <c r="B44" s="20" t="s">
        <v>69</v>
      </c>
      <c r="C44" s="19">
        <v>56662.108020163338</v>
      </c>
      <c r="D44" s="19">
        <v>6342.1372026014196</v>
      </c>
      <c r="E44" s="19">
        <v>214.26239115646257</v>
      </c>
      <c r="F44" s="19">
        <v>6471.8636445590109</v>
      </c>
      <c r="G44" s="19">
        <v>5319.650336831779</v>
      </c>
      <c r="H44" s="19">
        <v>3574.3550035462836</v>
      </c>
      <c r="I44" s="19">
        <v>53.984824873739534</v>
      </c>
      <c r="J44" s="19">
        <v>1558.0349475768003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">
      <c r="A45" s="2">
        <v>10</v>
      </c>
      <c r="B45" s="20" t="s">
        <v>36</v>
      </c>
      <c r="C45" s="19">
        <v>73380.742324981096</v>
      </c>
      <c r="D45" s="19">
        <v>76976.744697528513</v>
      </c>
      <c r="E45" s="19">
        <v>4820.9038010204085</v>
      </c>
      <c r="F45" s="19">
        <v>11583.815492933047</v>
      </c>
      <c r="G45" s="19">
        <v>10555.217070477152</v>
      </c>
      <c r="H45" s="19">
        <v>104.308256</v>
      </c>
      <c r="I45" s="19">
        <v>322.98046331094787</v>
      </c>
      <c r="J45" s="19">
        <v>4612.5764934479994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">
      <c r="A46" s="2">
        <v>11</v>
      </c>
      <c r="B46" s="20" t="s">
        <v>70</v>
      </c>
      <c r="C46" s="19">
        <v>50478.941621956095</v>
      </c>
      <c r="D46" s="19">
        <v>10366.642528997198</v>
      </c>
      <c r="E46" s="19">
        <v>0</v>
      </c>
      <c r="F46" s="19">
        <v>2895.357629899263</v>
      </c>
      <c r="G46" s="19">
        <v>3732.725172427055</v>
      </c>
      <c r="H46" s="19">
        <v>0</v>
      </c>
      <c r="I46" s="19">
        <v>0</v>
      </c>
      <c r="J46" s="19">
        <v>262.87437537899996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">
      <c r="A47" s="2">
        <v>12</v>
      </c>
      <c r="B47" s="20" t="s">
        <v>38</v>
      </c>
      <c r="C47" s="19">
        <v>59710.713588245017</v>
      </c>
      <c r="D47" s="19">
        <v>2694.9014119821582</v>
      </c>
      <c r="E47" s="19">
        <v>107.13119557823129</v>
      </c>
      <c r="F47" s="19">
        <v>5063.9508061760034</v>
      </c>
      <c r="G47" s="19">
        <v>2581.5316489627298</v>
      </c>
      <c r="H47" s="19">
        <v>2607.7064</v>
      </c>
      <c r="I47" s="19">
        <v>205.66030372816661</v>
      </c>
      <c r="J47" s="19">
        <v>1035.8599999999999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">
      <c r="A48" s="2">
        <v>13</v>
      </c>
      <c r="B48" s="20" t="s">
        <v>39</v>
      </c>
      <c r="C48" s="19">
        <v>9897.1707439821093</v>
      </c>
      <c r="D48" s="19">
        <v>7780.0897793866498</v>
      </c>
      <c r="E48" s="19">
        <v>107.13119557823129</v>
      </c>
      <c r="F48" s="19">
        <v>6039.8675392108962</v>
      </c>
      <c r="G48" s="19">
        <v>2610.9991207738758</v>
      </c>
      <c r="H48" s="19">
        <v>1043.0825600000001</v>
      </c>
      <c r="I48" s="19">
        <v>0</v>
      </c>
      <c r="J48" s="19">
        <v>206.05102554959998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2">
      <c r="A49" s="2">
        <v>14</v>
      </c>
      <c r="B49" s="20" t="s">
        <v>40</v>
      </c>
      <c r="C49" s="19">
        <v>274581.2073343572</v>
      </c>
      <c r="D49" s="19">
        <v>144873.37245696361</v>
      </c>
      <c r="E49" s="19">
        <v>964.18076020408171</v>
      </c>
      <c r="F49" s="19">
        <v>12324.349713759837</v>
      </c>
      <c r="G49" s="19">
        <v>7855.4985054418185</v>
      </c>
      <c r="H49" s="19">
        <v>12887.496699772433</v>
      </c>
      <c r="I49" s="19">
        <v>0</v>
      </c>
      <c r="J49" s="19">
        <v>8120.2793628725976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">
      <c r="A50" s="2">
        <v>15</v>
      </c>
      <c r="B50" s="20" t="s">
        <v>41</v>
      </c>
      <c r="C50" s="19">
        <v>134118.07635909365</v>
      </c>
      <c r="D50" s="19">
        <v>1955.9831706337709</v>
      </c>
      <c r="E50" s="19">
        <v>214.26239115646257</v>
      </c>
      <c r="F50" s="19">
        <v>12946.827754454816</v>
      </c>
      <c r="G50" s="19">
        <v>10332.429582915465</v>
      </c>
      <c r="H50" s="19">
        <v>11610.114930126541</v>
      </c>
      <c r="I50" s="19">
        <v>417.81866917022001</v>
      </c>
      <c r="J50" s="19">
        <v>1462.2392953475999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">
      <c r="A51" s="2">
        <v>16</v>
      </c>
      <c r="B51" s="20" t="s">
        <v>71</v>
      </c>
      <c r="C51" s="19">
        <v>61840.003045574005</v>
      </c>
      <c r="D51" s="19">
        <v>3665.6806310467332</v>
      </c>
      <c r="E51" s="19">
        <v>0</v>
      </c>
      <c r="F51" s="19">
        <v>5324.4529726112887</v>
      </c>
      <c r="G51" s="19">
        <v>2011.8023888816492</v>
      </c>
      <c r="H51" s="19">
        <v>0</v>
      </c>
      <c r="I51" s="19">
        <v>132.6408473556254</v>
      </c>
      <c r="J51" s="19">
        <v>785.72559182039993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">
      <c r="A52" s="2">
        <v>17</v>
      </c>
      <c r="B52" s="20" t="s">
        <v>43</v>
      </c>
      <c r="C52" s="19">
        <v>83834.146414804563</v>
      </c>
      <c r="D52" s="19">
        <v>7865.6630545230719</v>
      </c>
      <c r="E52" s="19">
        <v>428.52478231292514</v>
      </c>
      <c r="F52" s="19">
        <v>12696.405554175226</v>
      </c>
      <c r="G52" s="19">
        <v>6474.1392204780987</v>
      </c>
      <c r="H52" s="19">
        <v>1079.4672935488604</v>
      </c>
      <c r="I52" s="19">
        <v>141.92570667051916</v>
      </c>
      <c r="J52" s="19">
        <v>3531.7868765255994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">
      <c r="A53" s="2">
        <v>18</v>
      </c>
      <c r="B53" s="20" t="s">
        <v>44</v>
      </c>
      <c r="C53" s="19">
        <v>39480.263328776266</v>
      </c>
      <c r="D53" s="19">
        <v>1611.7164304434139</v>
      </c>
      <c r="E53" s="19">
        <v>535.65597789115645</v>
      </c>
      <c r="F53" s="19">
        <v>12197.946126952042</v>
      </c>
      <c r="G53" s="19">
        <v>13939.704309439208</v>
      </c>
      <c r="H53" s="19">
        <v>10952.36688</v>
      </c>
      <c r="I53" s="19">
        <v>0</v>
      </c>
      <c r="J53" s="19">
        <v>97.603117365599985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x14ac:dyDescent="0.2">
      <c r="A54" s="2">
        <v>19</v>
      </c>
      <c r="B54" s="20" t="s">
        <v>45</v>
      </c>
      <c r="C54" s="19">
        <v>219318.92205544218</v>
      </c>
      <c r="D54" s="19">
        <v>17684.1486012938</v>
      </c>
      <c r="E54" s="19">
        <v>428.52478231292514</v>
      </c>
      <c r="F54" s="19">
        <v>17302.98155265169</v>
      </c>
      <c r="G54" s="19">
        <v>14814.431577998332</v>
      </c>
      <c r="H54" s="19">
        <v>9428.0764075633615</v>
      </c>
      <c r="I54" s="19">
        <v>1525.3697445896919</v>
      </c>
      <c r="J54" s="19">
        <v>4728.9250739807994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x14ac:dyDescent="0.2">
      <c r="A55" s="2">
        <v>20</v>
      </c>
      <c r="B55" s="20" t="s">
        <v>46</v>
      </c>
      <c r="C55" s="19">
        <v>98562.637531074928</v>
      </c>
      <c r="D55" s="19">
        <v>18471.804958211858</v>
      </c>
      <c r="E55" s="19">
        <v>214.26239115646257</v>
      </c>
      <c r="F55" s="19">
        <v>10543.967118438748</v>
      </c>
      <c r="G55" s="19">
        <v>9826.1824259319583</v>
      </c>
      <c r="H55" s="19">
        <v>9586.4798793757709</v>
      </c>
      <c r="I55" s="19">
        <v>0</v>
      </c>
      <c r="J55" s="19">
        <v>2678.7378667896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x14ac:dyDescent="0.2">
      <c r="A56" s="2">
        <v>21</v>
      </c>
      <c r="B56" s="20" t="s">
        <v>47</v>
      </c>
      <c r="C56" s="19">
        <v>46201.505453479855</v>
      </c>
      <c r="D56" s="19">
        <v>6156.5850012600304</v>
      </c>
      <c r="E56" s="19">
        <v>107.13119557823129</v>
      </c>
      <c r="F56" s="19">
        <v>3400.4005060359264</v>
      </c>
      <c r="G56" s="19">
        <v>2436.1603767848146</v>
      </c>
      <c r="H56" s="19">
        <v>6571.4201280000007</v>
      </c>
      <c r="I56" s="19">
        <v>8.7087425031471213</v>
      </c>
      <c r="J56" s="19">
        <v>1241.6600000000001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x14ac:dyDescent="0.2">
      <c r="A57" s="2">
        <v>22</v>
      </c>
      <c r="B57" s="20" t="s">
        <v>48</v>
      </c>
      <c r="C57" s="19">
        <v>58841.218977968427</v>
      </c>
      <c r="D57" s="19">
        <v>13322.341798771226</v>
      </c>
      <c r="E57" s="19">
        <v>160.69679336734691</v>
      </c>
      <c r="F57" s="19">
        <v>8372.4488960143026</v>
      </c>
      <c r="G57" s="19">
        <v>1265.8306357193505</v>
      </c>
      <c r="H57" s="19">
        <v>1581.2293820053874</v>
      </c>
      <c r="I57" s="19">
        <v>0</v>
      </c>
      <c r="J57" s="19">
        <v>3480.2927537994001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x14ac:dyDescent="0.2">
      <c r="A58" s="2">
        <v>23</v>
      </c>
      <c r="B58" s="20" t="s">
        <v>72</v>
      </c>
      <c r="C58" s="19">
        <v>55598.175762003208</v>
      </c>
      <c r="D58" s="19">
        <v>56951.76943160448</v>
      </c>
      <c r="E58" s="19">
        <v>0</v>
      </c>
      <c r="F58" s="19">
        <v>642.75031405094819</v>
      </c>
      <c r="G58" s="19">
        <v>2368.8009525639318</v>
      </c>
      <c r="H58" s="19">
        <v>0</v>
      </c>
      <c r="I58" s="19">
        <v>0</v>
      </c>
      <c r="J58" s="19">
        <v>2210.3342083746002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2">
      <c r="A59" s="2">
        <v>24</v>
      </c>
      <c r="B59" s="20" t="s">
        <v>73</v>
      </c>
      <c r="C59" s="19">
        <v>172076.9633470769</v>
      </c>
      <c r="D59" s="19">
        <v>136986.01431765233</v>
      </c>
      <c r="E59" s="19">
        <v>428.52478231292514</v>
      </c>
      <c r="F59" s="19">
        <v>7197.8495280362231</v>
      </c>
      <c r="G59" s="19">
        <v>7966.9221705328619</v>
      </c>
      <c r="H59" s="19">
        <v>621.94851529445725</v>
      </c>
      <c r="I59" s="19">
        <v>0</v>
      </c>
      <c r="J59" s="19">
        <v>8981.4340152305995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x14ac:dyDescent="0.2">
      <c r="A60" s="2">
        <v>25</v>
      </c>
      <c r="B60" s="20" t="s">
        <v>74</v>
      </c>
      <c r="C60" s="19">
        <v>54092.619597381345</v>
      </c>
      <c r="D60" s="19">
        <v>15146.359289525897</v>
      </c>
      <c r="E60" s="19">
        <v>53.565597789115643</v>
      </c>
      <c r="F60" s="19">
        <v>5252.9037725314047</v>
      </c>
      <c r="G60" s="19">
        <v>898.62643469238969</v>
      </c>
      <c r="H60" s="19">
        <v>0</v>
      </c>
      <c r="I60" s="19">
        <v>0</v>
      </c>
      <c r="J60" s="19">
        <v>1718.8900278858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x14ac:dyDescent="0.2">
      <c r="A61" s="2">
        <v>26</v>
      </c>
      <c r="B61" s="20" t="s">
        <v>75</v>
      </c>
      <c r="C61" s="19">
        <v>37605.132547760812</v>
      </c>
      <c r="D61" s="19">
        <v>12731.883521272863</v>
      </c>
      <c r="E61" s="19">
        <v>0</v>
      </c>
      <c r="F61" s="19">
        <v>1491.8008216655589</v>
      </c>
      <c r="G61" s="19">
        <v>2248.457991959322</v>
      </c>
      <c r="H61" s="19">
        <v>0</v>
      </c>
      <c r="I61" s="19">
        <v>569.69243939241107</v>
      </c>
      <c r="J61" s="19">
        <v>660.11608167119994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x14ac:dyDescent="0.2">
      <c r="A62" s="2">
        <v>27</v>
      </c>
      <c r="B62" s="20" t="s">
        <v>53</v>
      </c>
      <c r="C62" s="19">
        <v>52305.819499485595</v>
      </c>
      <c r="D62" s="19">
        <v>782.16489893994901</v>
      </c>
      <c r="E62" s="19">
        <v>0</v>
      </c>
      <c r="F62" s="19">
        <v>4790.2189453481624</v>
      </c>
      <c r="G62" s="19">
        <v>4339.7582824573556</v>
      </c>
      <c r="H62" s="19">
        <v>3134.9152212176691</v>
      </c>
      <c r="I62" s="19">
        <v>1545.2658716930355</v>
      </c>
      <c r="J62" s="19">
        <v>739.25324078759991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x14ac:dyDescent="0.2">
      <c r="A63" s="2" t="s">
        <v>76</v>
      </c>
      <c r="C63" s="19">
        <v>2374279.9088225854</v>
      </c>
      <c r="D63" s="19">
        <v>1142845.6242749961</v>
      </c>
      <c r="E63" s="19">
        <v>15748.285750000001</v>
      </c>
      <c r="F63" s="19">
        <v>187980.65894100998</v>
      </c>
      <c r="G63" s="19">
        <v>169743.31002800009</v>
      </c>
      <c r="H63" s="19">
        <v>84587.359216459532</v>
      </c>
      <c r="I63" s="19">
        <v>5300.0043621000004</v>
      </c>
      <c r="J63" s="19">
        <v>77083.259152214712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1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2:28" x14ac:dyDescent="0.2">
      <c r="B66" s="20"/>
      <c r="P66" s="20"/>
      <c r="Q66" s="20"/>
      <c r="R66" s="20"/>
      <c r="T66" s="20"/>
    </row>
    <row r="67" spans="2:28" x14ac:dyDescent="0.2">
      <c r="B67" s="20"/>
      <c r="P67" s="20"/>
      <c r="Q67" s="20"/>
      <c r="R67" s="20"/>
      <c r="T67" s="20"/>
    </row>
    <row r="68" spans="2:28" x14ac:dyDescent="0.2">
      <c r="B68" s="20"/>
      <c r="P68" s="20"/>
      <c r="Q68" s="20"/>
      <c r="R68" s="20"/>
      <c r="T68" s="20"/>
    </row>
    <row r="69" spans="2:28" x14ac:dyDescent="0.2">
      <c r="B69" s="20"/>
      <c r="P69" s="20"/>
      <c r="Q69" s="20"/>
      <c r="R69" s="20"/>
      <c r="T69" s="20"/>
    </row>
    <row r="70" spans="2:28" x14ac:dyDescent="0.2">
      <c r="B70" s="20"/>
      <c r="P70" s="20"/>
      <c r="Q70" s="20"/>
      <c r="R70" s="20"/>
      <c r="T70" s="20"/>
    </row>
    <row r="71" spans="2:28" x14ac:dyDescent="0.2">
      <c r="B71" s="20"/>
      <c r="P71" s="20"/>
      <c r="Q71" s="20"/>
      <c r="R71" s="20"/>
      <c r="T71" s="20"/>
    </row>
    <row r="72" spans="2:28" x14ac:dyDescent="0.2">
      <c r="B72" s="20"/>
      <c r="P72" s="20"/>
      <c r="Q72" s="20"/>
      <c r="R72" s="20"/>
      <c r="T72" s="20"/>
    </row>
    <row r="73" spans="2:28" x14ac:dyDescent="0.2">
      <c r="B73" s="20"/>
      <c r="P73" s="20"/>
      <c r="Q73" s="20"/>
      <c r="R73" s="20"/>
      <c r="T73" s="20"/>
    </row>
    <row r="74" spans="2:28" x14ac:dyDescent="0.2">
      <c r="B74" s="20"/>
      <c r="P74" s="20"/>
      <c r="Q74" s="20"/>
      <c r="R74" s="20"/>
      <c r="T74" s="20"/>
    </row>
    <row r="75" spans="2:28" x14ac:dyDescent="0.2">
      <c r="B75" s="20"/>
      <c r="P75" s="20"/>
      <c r="Q75" s="20"/>
      <c r="R75" s="20"/>
      <c r="T75" s="20"/>
    </row>
    <row r="76" spans="2:28" x14ac:dyDescent="0.2">
      <c r="B76" s="20"/>
      <c r="P76" s="20"/>
      <c r="Q76" s="20"/>
      <c r="R76" s="20"/>
      <c r="T76" s="20"/>
    </row>
    <row r="77" spans="2:28" x14ac:dyDescent="0.2">
      <c r="B77" s="20"/>
      <c r="P77" s="20"/>
      <c r="Q77" s="20"/>
      <c r="R77" s="20"/>
      <c r="T77" s="20"/>
    </row>
    <row r="78" spans="2:28" x14ac:dyDescent="0.2">
      <c r="B78" s="20"/>
      <c r="P78" s="20"/>
      <c r="Q78" s="20"/>
      <c r="R78" s="20"/>
      <c r="T78" s="20"/>
    </row>
    <row r="79" spans="2:28" x14ac:dyDescent="0.2">
      <c r="B79" s="20"/>
      <c r="P79" s="20"/>
      <c r="Q79" s="20"/>
      <c r="R79" s="20"/>
      <c r="T79" s="20"/>
    </row>
    <row r="80" spans="2:28" x14ac:dyDescent="0.2">
      <c r="B80" s="20"/>
      <c r="P80" s="20"/>
      <c r="Q80" s="20"/>
      <c r="R80" s="20"/>
      <c r="T80" s="20"/>
    </row>
    <row r="81" spans="2:20" x14ac:dyDescent="0.2">
      <c r="B81" s="20"/>
      <c r="P81" s="20"/>
      <c r="Q81" s="20"/>
      <c r="R81" s="20"/>
      <c r="T81" s="20"/>
    </row>
    <row r="82" spans="2:20" x14ac:dyDescent="0.2">
      <c r="B82" s="20"/>
      <c r="P82" s="20"/>
      <c r="Q82" s="20"/>
      <c r="R82" s="20"/>
      <c r="T82" s="20"/>
    </row>
    <row r="83" spans="2:20" x14ac:dyDescent="0.2">
      <c r="B83" s="20"/>
      <c r="P83" s="20"/>
      <c r="Q83" s="20"/>
      <c r="R83" s="20"/>
      <c r="T83" s="20"/>
    </row>
    <row r="84" spans="2:20" x14ac:dyDescent="0.2">
      <c r="B84" s="20"/>
      <c r="P84" s="20"/>
      <c r="Q84" s="20"/>
      <c r="R84" s="20"/>
      <c r="T84" s="20"/>
    </row>
    <row r="85" spans="2:20" x14ac:dyDescent="0.2">
      <c r="B85" s="20"/>
      <c r="P85" s="20"/>
      <c r="Q85" s="20"/>
      <c r="R85" s="20"/>
      <c r="T85" s="20"/>
    </row>
    <row r="86" spans="2:20" x14ac:dyDescent="0.2">
      <c r="B86" s="20"/>
      <c r="P86" s="20"/>
      <c r="Q86" s="20"/>
      <c r="R86" s="20"/>
      <c r="T86" s="20"/>
    </row>
    <row r="87" spans="2:20" x14ac:dyDescent="0.2">
      <c r="B87" s="20"/>
      <c r="P87" s="20"/>
      <c r="Q87" s="20"/>
      <c r="R87" s="20"/>
      <c r="T87" s="20"/>
    </row>
    <row r="88" spans="2:20" x14ac:dyDescent="0.2">
      <c r="B88" s="20"/>
      <c r="P88" s="20"/>
      <c r="Q88" s="20"/>
      <c r="R88" s="20"/>
      <c r="T88" s="20"/>
    </row>
    <row r="89" spans="2:20" x14ac:dyDescent="0.2">
      <c r="B89" s="20"/>
      <c r="P89" s="20"/>
      <c r="Q89" s="20"/>
      <c r="R89" s="20"/>
      <c r="T89" s="20"/>
    </row>
    <row r="90" spans="2:20" x14ac:dyDescent="0.2">
      <c r="B90" s="20"/>
      <c r="P90" s="20"/>
      <c r="Q90" s="20"/>
      <c r="R90" s="20"/>
      <c r="T90" s="20"/>
    </row>
    <row r="91" spans="2:20" x14ac:dyDescent="0.2">
      <c r="B91" s="20"/>
      <c r="P91" s="20"/>
      <c r="Q91" s="20"/>
      <c r="R91" s="20"/>
      <c r="T91" s="20"/>
    </row>
    <row r="92" spans="2:20" x14ac:dyDescent="0.2">
      <c r="B92" s="20"/>
      <c r="P92" s="20"/>
      <c r="Q92" s="20"/>
      <c r="R92" s="20"/>
      <c r="T92" s="20"/>
    </row>
    <row r="93" spans="2:20" x14ac:dyDescent="0.2">
      <c r="P93" s="20"/>
      <c r="Q93" s="20"/>
      <c r="R93" s="20"/>
      <c r="T93" s="20"/>
    </row>
    <row r="94" spans="2:20" x14ac:dyDescent="0.2">
      <c r="J94" s="19"/>
    </row>
  </sheetData>
  <mergeCells count="6">
    <mergeCell ref="Z2:AA2"/>
    <mergeCell ref="A1:X1"/>
    <mergeCell ref="E2:F2"/>
    <mergeCell ref="H2:I2"/>
    <mergeCell ref="M2:N2"/>
    <mergeCell ref="U2:V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64"/>
  <sheetViews>
    <sheetView rightToLeft="1" workbookViewId="0">
      <selection activeCell="CG36" sqref="CG36"/>
    </sheetView>
  </sheetViews>
  <sheetFormatPr defaultRowHeight="21" x14ac:dyDescent="0.2"/>
  <cols>
    <col min="1" max="7" width="9" style="65"/>
    <col min="8" max="8" width="8.75" style="142" customWidth="1"/>
    <col min="9" max="9" width="9" style="142"/>
    <col min="10" max="10" width="21.125" style="142" bestFit="1" customWidth="1"/>
    <col min="11" max="11" width="9" style="142"/>
    <col min="12" max="16" width="9" style="140"/>
    <col min="17" max="18" width="9" style="141"/>
    <col min="19" max="25" width="9" style="140"/>
    <col min="26" max="29" width="9" style="65"/>
    <col min="30" max="30" width="9" style="64"/>
    <col min="31" max="32" width="9" style="65"/>
    <col min="33" max="44" width="9" style="140"/>
    <col min="45" max="50" width="9" style="65"/>
    <col min="51" max="62" width="9" style="140"/>
    <col min="63" max="70" width="9" style="65"/>
    <col min="71" max="82" width="9" style="140"/>
    <col min="83" max="263" width="9" style="65"/>
    <col min="264" max="264" width="8.75" style="65" customWidth="1"/>
    <col min="265" max="265" width="9" style="65"/>
    <col min="266" max="266" width="21.125" style="65" bestFit="1" customWidth="1"/>
    <col min="267" max="519" width="9" style="65"/>
    <col min="520" max="520" width="8.75" style="65" customWidth="1"/>
    <col min="521" max="521" width="9" style="65"/>
    <col min="522" max="522" width="21.125" style="65" bestFit="1" customWidth="1"/>
    <col min="523" max="775" width="9" style="65"/>
    <col min="776" max="776" width="8.75" style="65" customWidth="1"/>
    <col min="777" max="777" width="9" style="65"/>
    <col min="778" max="778" width="21.125" style="65" bestFit="1" customWidth="1"/>
    <col min="779" max="1031" width="9" style="65"/>
    <col min="1032" max="1032" width="8.75" style="65" customWidth="1"/>
    <col min="1033" max="1033" width="9" style="65"/>
    <col min="1034" max="1034" width="21.125" style="65" bestFit="1" customWidth="1"/>
    <col min="1035" max="1287" width="9" style="65"/>
    <col min="1288" max="1288" width="8.75" style="65" customWidth="1"/>
    <col min="1289" max="1289" width="9" style="65"/>
    <col min="1290" max="1290" width="21.125" style="65" bestFit="1" customWidth="1"/>
    <col min="1291" max="1543" width="9" style="65"/>
    <col min="1544" max="1544" width="8.75" style="65" customWidth="1"/>
    <col min="1545" max="1545" width="9" style="65"/>
    <col min="1546" max="1546" width="21.125" style="65" bestFit="1" customWidth="1"/>
    <col min="1547" max="1799" width="9" style="65"/>
    <col min="1800" max="1800" width="8.75" style="65" customWidth="1"/>
    <col min="1801" max="1801" width="9" style="65"/>
    <col min="1802" max="1802" width="21.125" style="65" bestFit="1" customWidth="1"/>
    <col min="1803" max="2055" width="9" style="65"/>
    <col min="2056" max="2056" width="8.75" style="65" customWidth="1"/>
    <col min="2057" max="2057" width="9" style="65"/>
    <col min="2058" max="2058" width="21.125" style="65" bestFit="1" customWidth="1"/>
    <col min="2059" max="2311" width="9" style="65"/>
    <col min="2312" max="2312" width="8.75" style="65" customWidth="1"/>
    <col min="2313" max="2313" width="9" style="65"/>
    <col min="2314" max="2314" width="21.125" style="65" bestFit="1" customWidth="1"/>
    <col min="2315" max="2567" width="9" style="65"/>
    <col min="2568" max="2568" width="8.75" style="65" customWidth="1"/>
    <col min="2569" max="2569" width="9" style="65"/>
    <col min="2570" max="2570" width="21.125" style="65" bestFit="1" customWidth="1"/>
    <col min="2571" max="2823" width="9" style="65"/>
    <col min="2824" max="2824" width="8.75" style="65" customWidth="1"/>
    <col min="2825" max="2825" width="9" style="65"/>
    <col min="2826" max="2826" width="21.125" style="65" bestFit="1" customWidth="1"/>
    <col min="2827" max="3079" width="9" style="65"/>
    <col min="3080" max="3080" width="8.75" style="65" customWidth="1"/>
    <col min="3081" max="3081" width="9" style="65"/>
    <col min="3082" max="3082" width="21.125" style="65" bestFit="1" customWidth="1"/>
    <col min="3083" max="3335" width="9" style="65"/>
    <col min="3336" max="3336" width="8.75" style="65" customWidth="1"/>
    <col min="3337" max="3337" width="9" style="65"/>
    <col min="3338" max="3338" width="21.125" style="65" bestFit="1" customWidth="1"/>
    <col min="3339" max="3591" width="9" style="65"/>
    <col min="3592" max="3592" width="8.75" style="65" customWidth="1"/>
    <col min="3593" max="3593" width="9" style="65"/>
    <col min="3594" max="3594" width="21.125" style="65" bestFit="1" customWidth="1"/>
    <col min="3595" max="3847" width="9" style="65"/>
    <col min="3848" max="3848" width="8.75" style="65" customWidth="1"/>
    <col min="3849" max="3849" width="9" style="65"/>
    <col min="3850" max="3850" width="21.125" style="65" bestFit="1" customWidth="1"/>
    <col min="3851" max="4103" width="9" style="65"/>
    <col min="4104" max="4104" width="8.75" style="65" customWidth="1"/>
    <col min="4105" max="4105" width="9" style="65"/>
    <col min="4106" max="4106" width="21.125" style="65" bestFit="1" customWidth="1"/>
    <col min="4107" max="4359" width="9" style="65"/>
    <col min="4360" max="4360" width="8.75" style="65" customWidth="1"/>
    <col min="4361" max="4361" width="9" style="65"/>
    <col min="4362" max="4362" width="21.125" style="65" bestFit="1" customWidth="1"/>
    <col min="4363" max="4615" width="9" style="65"/>
    <col min="4616" max="4616" width="8.75" style="65" customWidth="1"/>
    <col min="4617" max="4617" width="9" style="65"/>
    <col min="4618" max="4618" width="21.125" style="65" bestFit="1" customWidth="1"/>
    <col min="4619" max="4871" width="9" style="65"/>
    <col min="4872" max="4872" width="8.75" style="65" customWidth="1"/>
    <col min="4873" max="4873" width="9" style="65"/>
    <col min="4874" max="4874" width="21.125" style="65" bestFit="1" customWidth="1"/>
    <col min="4875" max="5127" width="9" style="65"/>
    <col min="5128" max="5128" width="8.75" style="65" customWidth="1"/>
    <col min="5129" max="5129" width="9" style="65"/>
    <col min="5130" max="5130" width="21.125" style="65" bestFit="1" customWidth="1"/>
    <col min="5131" max="5383" width="9" style="65"/>
    <col min="5384" max="5384" width="8.75" style="65" customWidth="1"/>
    <col min="5385" max="5385" width="9" style="65"/>
    <col min="5386" max="5386" width="21.125" style="65" bestFit="1" customWidth="1"/>
    <col min="5387" max="5639" width="9" style="65"/>
    <col min="5640" max="5640" width="8.75" style="65" customWidth="1"/>
    <col min="5641" max="5641" width="9" style="65"/>
    <col min="5642" max="5642" width="21.125" style="65" bestFit="1" customWidth="1"/>
    <col min="5643" max="5895" width="9" style="65"/>
    <col min="5896" max="5896" width="8.75" style="65" customWidth="1"/>
    <col min="5897" max="5897" width="9" style="65"/>
    <col min="5898" max="5898" width="21.125" style="65" bestFit="1" customWidth="1"/>
    <col min="5899" max="6151" width="9" style="65"/>
    <col min="6152" max="6152" width="8.75" style="65" customWidth="1"/>
    <col min="6153" max="6153" width="9" style="65"/>
    <col min="6154" max="6154" width="21.125" style="65" bestFit="1" customWidth="1"/>
    <col min="6155" max="6407" width="9" style="65"/>
    <col min="6408" max="6408" width="8.75" style="65" customWidth="1"/>
    <col min="6409" max="6409" width="9" style="65"/>
    <col min="6410" max="6410" width="21.125" style="65" bestFit="1" customWidth="1"/>
    <col min="6411" max="6663" width="9" style="65"/>
    <col min="6664" max="6664" width="8.75" style="65" customWidth="1"/>
    <col min="6665" max="6665" width="9" style="65"/>
    <col min="6666" max="6666" width="21.125" style="65" bestFit="1" customWidth="1"/>
    <col min="6667" max="6919" width="9" style="65"/>
    <col min="6920" max="6920" width="8.75" style="65" customWidth="1"/>
    <col min="6921" max="6921" width="9" style="65"/>
    <col min="6922" max="6922" width="21.125" style="65" bestFit="1" customWidth="1"/>
    <col min="6923" max="7175" width="9" style="65"/>
    <col min="7176" max="7176" width="8.75" style="65" customWidth="1"/>
    <col min="7177" max="7177" width="9" style="65"/>
    <col min="7178" max="7178" width="21.125" style="65" bestFit="1" customWidth="1"/>
    <col min="7179" max="7431" width="9" style="65"/>
    <col min="7432" max="7432" width="8.75" style="65" customWidth="1"/>
    <col min="7433" max="7433" width="9" style="65"/>
    <col min="7434" max="7434" width="21.125" style="65" bestFit="1" customWidth="1"/>
    <col min="7435" max="7687" width="9" style="65"/>
    <col min="7688" max="7688" width="8.75" style="65" customWidth="1"/>
    <col min="7689" max="7689" width="9" style="65"/>
    <col min="7690" max="7690" width="21.125" style="65" bestFit="1" customWidth="1"/>
    <col min="7691" max="7943" width="9" style="65"/>
    <col min="7944" max="7944" width="8.75" style="65" customWidth="1"/>
    <col min="7945" max="7945" width="9" style="65"/>
    <col min="7946" max="7946" width="21.125" style="65" bestFit="1" customWidth="1"/>
    <col min="7947" max="8199" width="9" style="65"/>
    <col min="8200" max="8200" width="8.75" style="65" customWidth="1"/>
    <col min="8201" max="8201" width="9" style="65"/>
    <col min="8202" max="8202" width="21.125" style="65" bestFit="1" customWidth="1"/>
    <col min="8203" max="8455" width="9" style="65"/>
    <col min="8456" max="8456" width="8.75" style="65" customWidth="1"/>
    <col min="8457" max="8457" width="9" style="65"/>
    <col min="8458" max="8458" width="21.125" style="65" bestFit="1" customWidth="1"/>
    <col min="8459" max="8711" width="9" style="65"/>
    <col min="8712" max="8712" width="8.75" style="65" customWidth="1"/>
    <col min="8713" max="8713" width="9" style="65"/>
    <col min="8714" max="8714" width="21.125" style="65" bestFit="1" customWidth="1"/>
    <col min="8715" max="8967" width="9" style="65"/>
    <col min="8968" max="8968" width="8.75" style="65" customWidth="1"/>
    <col min="8969" max="8969" width="9" style="65"/>
    <col min="8970" max="8970" width="21.125" style="65" bestFit="1" customWidth="1"/>
    <col min="8971" max="9223" width="9" style="65"/>
    <col min="9224" max="9224" width="8.75" style="65" customWidth="1"/>
    <col min="9225" max="9225" width="9" style="65"/>
    <col min="9226" max="9226" width="21.125" style="65" bestFit="1" customWidth="1"/>
    <col min="9227" max="9479" width="9" style="65"/>
    <col min="9480" max="9480" width="8.75" style="65" customWidth="1"/>
    <col min="9481" max="9481" width="9" style="65"/>
    <col min="9482" max="9482" width="21.125" style="65" bestFit="1" customWidth="1"/>
    <col min="9483" max="9735" width="9" style="65"/>
    <col min="9736" max="9736" width="8.75" style="65" customWidth="1"/>
    <col min="9737" max="9737" width="9" style="65"/>
    <col min="9738" max="9738" width="21.125" style="65" bestFit="1" customWidth="1"/>
    <col min="9739" max="9991" width="9" style="65"/>
    <col min="9992" max="9992" width="8.75" style="65" customWidth="1"/>
    <col min="9993" max="9993" width="9" style="65"/>
    <col min="9994" max="9994" width="21.125" style="65" bestFit="1" customWidth="1"/>
    <col min="9995" max="10247" width="9" style="65"/>
    <col min="10248" max="10248" width="8.75" style="65" customWidth="1"/>
    <col min="10249" max="10249" width="9" style="65"/>
    <col min="10250" max="10250" width="21.125" style="65" bestFit="1" customWidth="1"/>
    <col min="10251" max="10503" width="9" style="65"/>
    <col min="10504" max="10504" width="8.75" style="65" customWidth="1"/>
    <col min="10505" max="10505" width="9" style="65"/>
    <col min="10506" max="10506" width="21.125" style="65" bestFit="1" customWidth="1"/>
    <col min="10507" max="10759" width="9" style="65"/>
    <col min="10760" max="10760" width="8.75" style="65" customWidth="1"/>
    <col min="10761" max="10761" width="9" style="65"/>
    <col min="10762" max="10762" width="21.125" style="65" bestFit="1" customWidth="1"/>
    <col min="10763" max="11015" width="9" style="65"/>
    <col min="11016" max="11016" width="8.75" style="65" customWidth="1"/>
    <col min="11017" max="11017" width="9" style="65"/>
    <col min="11018" max="11018" width="21.125" style="65" bestFit="1" customWidth="1"/>
    <col min="11019" max="11271" width="9" style="65"/>
    <col min="11272" max="11272" width="8.75" style="65" customWidth="1"/>
    <col min="11273" max="11273" width="9" style="65"/>
    <col min="11274" max="11274" width="21.125" style="65" bestFit="1" customWidth="1"/>
    <col min="11275" max="11527" width="9" style="65"/>
    <col min="11528" max="11528" width="8.75" style="65" customWidth="1"/>
    <col min="11529" max="11529" width="9" style="65"/>
    <col min="11530" max="11530" width="21.125" style="65" bestFit="1" customWidth="1"/>
    <col min="11531" max="11783" width="9" style="65"/>
    <col min="11784" max="11784" width="8.75" style="65" customWidth="1"/>
    <col min="11785" max="11785" width="9" style="65"/>
    <col min="11786" max="11786" width="21.125" style="65" bestFit="1" customWidth="1"/>
    <col min="11787" max="12039" width="9" style="65"/>
    <col min="12040" max="12040" width="8.75" style="65" customWidth="1"/>
    <col min="12041" max="12041" width="9" style="65"/>
    <col min="12042" max="12042" width="21.125" style="65" bestFit="1" customWidth="1"/>
    <col min="12043" max="12295" width="9" style="65"/>
    <col min="12296" max="12296" width="8.75" style="65" customWidth="1"/>
    <col min="12297" max="12297" width="9" style="65"/>
    <col min="12298" max="12298" width="21.125" style="65" bestFit="1" customWidth="1"/>
    <col min="12299" max="12551" width="9" style="65"/>
    <col min="12552" max="12552" width="8.75" style="65" customWidth="1"/>
    <col min="12553" max="12553" width="9" style="65"/>
    <col min="12554" max="12554" width="21.125" style="65" bestFit="1" customWidth="1"/>
    <col min="12555" max="12807" width="9" style="65"/>
    <col min="12808" max="12808" width="8.75" style="65" customWidth="1"/>
    <col min="12809" max="12809" width="9" style="65"/>
    <col min="12810" max="12810" width="21.125" style="65" bestFit="1" customWidth="1"/>
    <col min="12811" max="13063" width="9" style="65"/>
    <col min="13064" max="13064" width="8.75" style="65" customWidth="1"/>
    <col min="13065" max="13065" width="9" style="65"/>
    <col min="13066" max="13066" width="21.125" style="65" bestFit="1" customWidth="1"/>
    <col min="13067" max="13319" width="9" style="65"/>
    <col min="13320" max="13320" width="8.75" style="65" customWidth="1"/>
    <col min="13321" max="13321" width="9" style="65"/>
    <col min="13322" max="13322" width="21.125" style="65" bestFit="1" customWidth="1"/>
    <col min="13323" max="13575" width="9" style="65"/>
    <col min="13576" max="13576" width="8.75" style="65" customWidth="1"/>
    <col min="13577" max="13577" width="9" style="65"/>
    <col min="13578" max="13578" width="21.125" style="65" bestFit="1" customWidth="1"/>
    <col min="13579" max="13831" width="9" style="65"/>
    <col min="13832" max="13832" width="8.75" style="65" customWidth="1"/>
    <col min="13833" max="13833" width="9" style="65"/>
    <col min="13834" max="13834" width="21.125" style="65" bestFit="1" customWidth="1"/>
    <col min="13835" max="14087" width="9" style="65"/>
    <col min="14088" max="14088" width="8.75" style="65" customWidth="1"/>
    <col min="14089" max="14089" width="9" style="65"/>
    <col min="14090" max="14090" width="21.125" style="65" bestFit="1" customWidth="1"/>
    <col min="14091" max="14343" width="9" style="65"/>
    <col min="14344" max="14344" width="8.75" style="65" customWidth="1"/>
    <col min="14345" max="14345" width="9" style="65"/>
    <col min="14346" max="14346" width="21.125" style="65" bestFit="1" customWidth="1"/>
    <col min="14347" max="14599" width="9" style="65"/>
    <col min="14600" max="14600" width="8.75" style="65" customWidth="1"/>
    <col min="14601" max="14601" width="9" style="65"/>
    <col min="14602" max="14602" width="21.125" style="65" bestFit="1" customWidth="1"/>
    <col min="14603" max="14855" width="9" style="65"/>
    <col min="14856" max="14856" width="8.75" style="65" customWidth="1"/>
    <col min="14857" max="14857" width="9" style="65"/>
    <col min="14858" max="14858" width="21.125" style="65" bestFit="1" customWidth="1"/>
    <col min="14859" max="15111" width="9" style="65"/>
    <col min="15112" max="15112" width="8.75" style="65" customWidth="1"/>
    <col min="15113" max="15113" width="9" style="65"/>
    <col min="15114" max="15114" width="21.125" style="65" bestFit="1" customWidth="1"/>
    <col min="15115" max="15367" width="9" style="65"/>
    <col min="15368" max="15368" width="8.75" style="65" customWidth="1"/>
    <col min="15369" max="15369" width="9" style="65"/>
    <col min="15370" max="15370" width="21.125" style="65" bestFit="1" customWidth="1"/>
    <col min="15371" max="15623" width="9" style="65"/>
    <col min="15624" max="15624" width="8.75" style="65" customWidth="1"/>
    <col min="15625" max="15625" width="9" style="65"/>
    <col min="15626" max="15626" width="21.125" style="65" bestFit="1" customWidth="1"/>
    <col min="15627" max="15879" width="9" style="65"/>
    <col min="15880" max="15880" width="8.75" style="65" customWidth="1"/>
    <col min="15881" max="15881" width="9" style="65"/>
    <col min="15882" max="15882" width="21.125" style="65" bestFit="1" customWidth="1"/>
    <col min="15883" max="16135" width="9" style="65"/>
    <col min="16136" max="16136" width="8.75" style="65" customWidth="1"/>
    <col min="16137" max="16137" width="9" style="65"/>
    <col min="16138" max="16138" width="21.125" style="65" bestFit="1" customWidth="1"/>
    <col min="16139" max="16384" width="9" style="65"/>
  </cols>
  <sheetData>
    <row r="1" spans="1:105" ht="44.25" x14ac:dyDescent="0.2">
      <c r="A1" s="167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E1" s="167" t="s">
        <v>133</v>
      </c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 t="s">
        <v>134</v>
      </c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Q1" s="167" t="s">
        <v>135</v>
      </c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 t="s">
        <v>136</v>
      </c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</row>
    <row r="2" spans="1:105" s="67" customFormat="1" ht="26.25" x14ac:dyDescent="0.2">
      <c r="A2" s="161" t="s">
        <v>15</v>
      </c>
      <c r="B2" s="161" t="s">
        <v>1</v>
      </c>
      <c r="C2" s="161" t="s">
        <v>137</v>
      </c>
      <c r="D2" s="164" t="s">
        <v>138</v>
      </c>
      <c r="E2" s="164" t="s">
        <v>139</v>
      </c>
      <c r="F2" s="164" t="s">
        <v>140</v>
      </c>
      <c r="G2" s="164" t="s">
        <v>141</v>
      </c>
      <c r="H2" s="168" t="s">
        <v>138</v>
      </c>
      <c r="I2" s="168" t="s">
        <v>139</v>
      </c>
      <c r="J2" s="168" t="s">
        <v>140</v>
      </c>
      <c r="K2" s="171" t="s">
        <v>141</v>
      </c>
      <c r="L2" s="172"/>
      <c r="M2" s="173"/>
      <c r="N2" s="171" t="s">
        <v>142</v>
      </c>
      <c r="O2" s="172"/>
      <c r="P2" s="172"/>
      <c r="Q2" s="172"/>
      <c r="R2" s="172"/>
      <c r="S2" s="173"/>
      <c r="T2" s="171" t="s">
        <v>143</v>
      </c>
      <c r="U2" s="172"/>
      <c r="V2" s="172"/>
      <c r="W2" s="172"/>
      <c r="X2" s="172"/>
      <c r="Y2" s="173"/>
      <c r="Z2" s="161" t="s">
        <v>144</v>
      </c>
      <c r="AA2" s="161" t="s">
        <v>145</v>
      </c>
      <c r="AB2" s="161" t="s">
        <v>146</v>
      </c>
      <c r="AC2" s="161" t="s">
        <v>5</v>
      </c>
      <c r="AD2" s="66"/>
      <c r="AE2" s="174" t="s">
        <v>15</v>
      </c>
      <c r="AF2" s="174" t="s">
        <v>1</v>
      </c>
      <c r="AG2" s="176" t="s">
        <v>138</v>
      </c>
      <c r="AH2" s="176" t="s">
        <v>139</v>
      </c>
      <c r="AI2" s="176" t="s">
        <v>140</v>
      </c>
      <c r="AJ2" s="178" t="s">
        <v>141</v>
      </c>
      <c r="AK2" s="179"/>
      <c r="AL2" s="180"/>
      <c r="AM2" s="178" t="s">
        <v>142</v>
      </c>
      <c r="AN2" s="179"/>
      <c r="AO2" s="180"/>
      <c r="AP2" s="178" t="s">
        <v>143</v>
      </c>
      <c r="AQ2" s="179"/>
      <c r="AR2" s="180"/>
      <c r="AS2" s="174" t="s">
        <v>144</v>
      </c>
      <c r="AT2" s="174" t="s">
        <v>145</v>
      </c>
      <c r="AU2" s="174" t="s">
        <v>146</v>
      </c>
      <c r="AV2" s="174" t="s">
        <v>147</v>
      </c>
      <c r="AW2" s="181" t="s">
        <v>15</v>
      </c>
      <c r="AX2" s="181" t="s">
        <v>1</v>
      </c>
      <c r="AY2" s="168" t="s">
        <v>138</v>
      </c>
      <c r="AZ2" s="168" t="s">
        <v>139</v>
      </c>
      <c r="BA2" s="168" t="s">
        <v>140</v>
      </c>
      <c r="BB2" s="183" t="s">
        <v>141</v>
      </c>
      <c r="BC2" s="184"/>
      <c r="BD2" s="185"/>
      <c r="BE2" s="183" t="s">
        <v>142</v>
      </c>
      <c r="BF2" s="184"/>
      <c r="BG2" s="185"/>
      <c r="BH2" s="183" t="s">
        <v>143</v>
      </c>
      <c r="BI2" s="184"/>
      <c r="BJ2" s="185"/>
      <c r="BK2" s="181" t="s">
        <v>144</v>
      </c>
      <c r="BL2" s="181" t="s">
        <v>145</v>
      </c>
      <c r="BM2" s="181" t="s">
        <v>146</v>
      </c>
      <c r="BN2" s="181" t="s">
        <v>148</v>
      </c>
      <c r="BQ2" s="186" t="s">
        <v>15</v>
      </c>
      <c r="BR2" s="186" t="s">
        <v>1</v>
      </c>
      <c r="BS2" s="188" t="s">
        <v>138</v>
      </c>
      <c r="BT2" s="188" t="s">
        <v>139</v>
      </c>
      <c r="BU2" s="188" t="s">
        <v>140</v>
      </c>
      <c r="BV2" s="190" t="s">
        <v>141</v>
      </c>
      <c r="BW2" s="191"/>
      <c r="BX2" s="192"/>
      <c r="BY2" s="190" t="s">
        <v>142</v>
      </c>
      <c r="BZ2" s="191"/>
      <c r="CA2" s="192"/>
      <c r="CB2" s="190" t="s">
        <v>143</v>
      </c>
      <c r="CC2" s="191"/>
      <c r="CD2" s="192"/>
      <c r="CE2" s="186" t="s">
        <v>144</v>
      </c>
      <c r="CF2" s="186" t="s">
        <v>145</v>
      </c>
      <c r="CG2" s="186" t="s">
        <v>146</v>
      </c>
      <c r="CH2" s="186" t="s">
        <v>147</v>
      </c>
      <c r="CI2" s="193" t="s">
        <v>15</v>
      </c>
      <c r="CJ2" s="193" t="s">
        <v>1</v>
      </c>
      <c r="CK2" s="195" t="s">
        <v>138</v>
      </c>
      <c r="CL2" s="195" t="s">
        <v>139</v>
      </c>
      <c r="CM2" s="195" t="s">
        <v>140</v>
      </c>
      <c r="CN2" s="197" t="s">
        <v>141</v>
      </c>
      <c r="CO2" s="198"/>
      <c r="CP2" s="199"/>
      <c r="CQ2" s="197" t="s">
        <v>142</v>
      </c>
      <c r="CR2" s="198"/>
      <c r="CS2" s="199"/>
      <c r="CT2" s="197" t="s">
        <v>143</v>
      </c>
      <c r="CU2" s="198"/>
      <c r="CV2" s="199"/>
      <c r="CW2" s="193" t="s">
        <v>144</v>
      </c>
      <c r="CX2" s="193" t="s">
        <v>145</v>
      </c>
      <c r="CY2" s="193" t="s">
        <v>146</v>
      </c>
      <c r="CZ2" s="193" t="s">
        <v>147</v>
      </c>
      <c r="DA2" s="193" t="s">
        <v>149</v>
      </c>
    </row>
    <row r="3" spans="1:105" s="67" customFormat="1" ht="26.25" x14ac:dyDescent="0.2">
      <c r="A3" s="162"/>
      <c r="B3" s="162"/>
      <c r="C3" s="162"/>
      <c r="D3" s="165"/>
      <c r="E3" s="165"/>
      <c r="F3" s="165"/>
      <c r="G3" s="165"/>
      <c r="H3" s="169"/>
      <c r="I3" s="169"/>
      <c r="J3" s="169"/>
      <c r="K3" s="168" t="s">
        <v>109</v>
      </c>
      <c r="L3" s="208" t="s">
        <v>108</v>
      </c>
      <c r="M3" s="208" t="s">
        <v>5</v>
      </c>
      <c r="N3" s="171" t="s">
        <v>109</v>
      </c>
      <c r="O3" s="173"/>
      <c r="P3" s="171" t="s">
        <v>108</v>
      </c>
      <c r="Q3" s="173"/>
      <c r="R3" s="171" t="s">
        <v>5</v>
      </c>
      <c r="S3" s="173"/>
      <c r="T3" s="171" t="s">
        <v>109</v>
      </c>
      <c r="U3" s="173"/>
      <c r="V3" s="171" t="s">
        <v>108</v>
      </c>
      <c r="W3" s="173"/>
      <c r="X3" s="171" t="s">
        <v>5</v>
      </c>
      <c r="Y3" s="173"/>
      <c r="Z3" s="162"/>
      <c r="AA3" s="162"/>
      <c r="AB3" s="162"/>
      <c r="AC3" s="162"/>
      <c r="AD3" s="66"/>
      <c r="AE3" s="175"/>
      <c r="AF3" s="175"/>
      <c r="AG3" s="177"/>
      <c r="AH3" s="177"/>
      <c r="AI3" s="177"/>
      <c r="AJ3" s="68" t="s">
        <v>109</v>
      </c>
      <c r="AK3" s="68" t="s">
        <v>108</v>
      </c>
      <c r="AL3" s="68" t="s">
        <v>5</v>
      </c>
      <c r="AM3" s="69" t="s">
        <v>109</v>
      </c>
      <c r="AN3" s="69" t="s">
        <v>108</v>
      </c>
      <c r="AO3" s="69" t="s">
        <v>5</v>
      </c>
      <c r="AP3" s="69" t="s">
        <v>109</v>
      </c>
      <c r="AQ3" s="69" t="s">
        <v>108</v>
      </c>
      <c r="AR3" s="69" t="s">
        <v>5</v>
      </c>
      <c r="AS3" s="175"/>
      <c r="AT3" s="175"/>
      <c r="AU3" s="175"/>
      <c r="AV3" s="175"/>
      <c r="AW3" s="182"/>
      <c r="AX3" s="182"/>
      <c r="AY3" s="170"/>
      <c r="AZ3" s="170"/>
      <c r="BA3" s="170"/>
      <c r="BB3" s="70" t="s">
        <v>109</v>
      </c>
      <c r="BC3" s="70" t="s">
        <v>108</v>
      </c>
      <c r="BD3" s="70" t="s">
        <v>5</v>
      </c>
      <c r="BE3" s="71" t="s">
        <v>109</v>
      </c>
      <c r="BF3" s="71" t="s">
        <v>108</v>
      </c>
      <c r="BG3" s="71" t="s">
        <v>5</v>
      </c>
      <c r="BH3" s="71" t="s">
        <v>109</v>
      </c>
      <c r="BI3" s="71" t="s">
        <v>108</v>
      </c>
      <c r="BJ3" s="71" t="s">
        <v>5</v>
      </c>
      <c r="BK3" s="182"/>
      <c r="BL3" s="182"/>
      <c r="BM3" s="182"/>
      <c r="BN3" s="182"/>
      <c r="BQ3" s="187"/>
      <c r="BR3" s="187"/>
      <c r="BS3" s="189"/>
      <c r="BT3" s="189"/>
      <c r="BU3" s="189"/>
      <c r="BV3" s="72" t="s">
        <v>109</v>
      </c>
      <c r="BW3" s="72" t="s">
        <v>108</v>
      </c>
      <c r="BX3" s="72" t="s">
        <v>5</v>
      </c>
      <c r="BY3" s="73" t="s">
        <v>109</v>
      </c>
      <c r="BZ3" s="73" t="s">
        <v>108</v>
      </c>
      <c r="CA3" s="73" t="s">
        <v>5</v>
      </c>
      <c r="CB3" s="73" t="s">
        <v>109</v>
      </c>
      <c r="CC3" s="73" t="s">
        <v>108</v>
      </c>
      <c r="CD3" s="73" t="s">
        <v>5</v>
      </c>
      <c r="CE3" s="187"/>
      <c r="CF3" s="187"/>
      <c r="CG3" s="187"/>
      <c r="CH3" s="187"/>
      <c r="CI3" s="194"/>
      <c r="CJ3" s="194"/>
      <c r="CK3" s="196"/>
      <c r="CL3" s="196"/>
      <c r="CM3" s="196"/>
      <c r="CN3" s="74" t="s">
        <v>109</v>
      </c>
      <c r="CO3" s="74" t="s">
        <v>108</v>
      </c>
      <c r="CP3" s="74" t="s">
        <v>5</v>
      </c>
      <c r="CQ3" s="75" t="s">
        <v>109</v>
      </c>
      <c r="CR3" s="75" t="s">
        <v>108</v>
      </c>
      <c r="CS3" s="75" t="s">
        <v>5</v>
      </c>
      <c r="CT3" s="75" t="s">
        <v>109</v>
      </c>
      <c r="CU3" s="75" t="s">
        <v>108</v>
      </c>
      <c r="CV3" s="75" t="s">
        <v>5</v>
      </c>
      <c r="CW3" s="194"/>
      <c r="CX3" s="194"/>
      <c r="CY3" s="194"/>
      <c r="CZ3" s="194"/>
      <c r="DA3" s="194"/>
    </row>
    <row r="4" spans="1:105" s="67" customFormat="1" ht="26.25" x14ac:dyDescent="0.2">
      <c r="A4" s="163"/>
      <c r="B4" s="163"/>
      <c r="C4" s="163"/>
      <c r="D4" s="166"/>
      <c r="E4" s="166"/>
      <c r="F4" s="166"/>
      <c r="G4" s="166"/>
      <c r="H4" s="170"/>
      <c r="I4" s="170"/>
      <c r="J4" s="170"/>
      <c r="K4" s="170"/>
      <c r="L4" s="209"/>
      <c r="M4" s="209"/>
      <c r="N4" s="76" t="s">
        <v>150</v>
      </c>
      <c r="O4" s="76" t="s">
        <v>151</v>
      </c>
      <c r="P4" s="76" t="s">
        <v>150</v>
      </c>
      <c r="Q4" s="76" t="s">
        <v>151</v>
      </c>
      <c r="R4" s="76" t="s">
        <v>150</v>
      </c>
      <c r="S4" s="76" t="s">
        <v>151</v>
      </c>
      <c r="T4" s="76" t="s">
        <v>150</v>
      </c>
      <c r="U4" s="76" t="s">
        <v>151</v>
      </c>
      <c r="V4" s="76" t="s">
        <v>150</v>
      </c>
      <c r="W4" s="76" t="s">
        <v>151</v>
      </c>
      <c r="X4" s="76" t="s">
        <v>150</v>
      </c>
      <c r="Y4" s="76" t="s">
        <v>151</v>
      </c>
      <c r="Z4" s="163"/>
      <c r="AA4" s="163"/>
      <c r="AB4" s="163"/>
      <c r="AC4" s="163"/>
      <c r="AD4" s="66"/>
      <c r="AE4" s="77"/>
      <c r="AF4" s="77"/>
      <c r="AG4" s="78"/>
      <c r="AH4" s="78"/>
      <c r="AI4" s="78"/>
      <c r="AJ4" s="79"/>
      <c r="AK4" s="79"/>
      <c r="AL4" s="79"/>
      <c r="AM4" s="69"/>
      <c r="AN4" s="69"/>
      <c r="AO4" s="69"/>
      <c r="AP4" s="69"/>
      <c r="AQ4" s="69"/>
      <c r="AR4" s="69"/>
      <c r="AS4" s="77"/>
      <c r="AT4" s="77"/>
      <c r="AU4" s="77"/>
      <c r="AV4" s="77"/>
      <c r="AW4" s="80"/>
      <c r="AX4" s="80"/>
      <c r="AY4" s="81"/>
      <c r="AZ4" s="81"/>
      <c r="BA4" s="81"/>
      <c r="BB4" s="82"/>
      <c r="BC4" s="82"/>
      <c r="BD4" s="82"/>
      <c r="BE4" s="71"/>
      <c r="BF4" s="71"/>
      <c r="BG4" s="71"/>
      <c r="BH4" s="71"/>
      <c r="BI4" s="71"/>
      <c r="BJ4" s="71"/>
      <c r="BK4" s="80"/>
      <c r="BL4" s="80"/>
      <c r="BM4" s="80"/>
      <c r="BN4" s="80"/>
      <c r="BQ4" s="83"/>
      <c r="BR4" s="83"/>
      <c r="BS4" s="84"/>
      <c r="BT4" s="84"/>
      <c r="BU4" s="84"/>
      <c r="BV4" s="85"/>
      <c r="BW4" s="85"/>
      <c r="BX4" s="85"/>
      <c r="BY4" s="73"/>
      <c r="BZ4" s="73"/>
      <c r="CA4" s="73"/>
      <c r="CB4" s="73"/>
      <c r="CC4" s="73"/>
      <c r="CD4" s="73"/>
      <c r="CE4" s="83"/>
      <c r="CF4" s="83"/>
      <c r="CG4" s="83"/>
      <c r="CH4" s="83"/>
      <c r="CI4" s="86"/>
      <c r="CJ4" s="86"/>
      <c r="CK4" s="87"/>
      <c r="CL4" s="87"/>
      <c r="CM4" s="87"/>
      <c r="CN4" s="88"/>
      <c r="CO4" s="88"/>
      <c r="CP4" s="88"/>
      <c r="CQ4" s="87"/>
      <c r="CR4" s="87"/>
      <c r="CS4" s="75"/>
      <c r="CT4" s="87"/>
      <c r="CU4" s="87"/>
      <c r="CV4" s="75"/>
      <c r="CW4" s="86"/>
      <c r="CX4" s="86"/>
      <c r="CY4" s="86"/>
      <c r="CZ4" s="86"/>
      <c r="DA4" s="86"/>
    </row>
    <row r="5" spans="1:105" s="96" customFormat="1" ht="26.25" x14ac:dyDescent="0.7">
      <c r="A5" s="89">
        <v>1</v>
      </c>
      <c r="B5" s="89" t="s">
        <v>27</v>
      </c>
      <c r="C5" s="90">
        <v>73</v>
      </c>
      <c r="D5" s="90">
        <f>C5*700</f>
        <v>51100</v>
      </c>
      <c r="E5" s="90">
        <f>$C5*250*0.08</f>
        <v>1460</v>
      </c>
      <c r="F5" s="90">
        <f>$C5*50*0.08</f>
        <v>292</v>
      </c>
      <c r="G5" s="90">
        <f>$C5*20*0.01</f>
        <v>14.6</v>
      </c>
      <c r="H5" s="91">
        <v>150305</v>
      </c>
      <c r="I5" s="92">
        <v>15678</v>
      </c>
      <c r="J5" s="93">
        <v>2978.4989999999998</v>
      </c>
      <c r="K5" s="92">
        <v>413</v>
      </c>
      <c r="L5" s="94">
        <v>0</v>
      </c>
      <c r="M5" s="94">
        <f t="shared" ref="M5:M31" si="0">K5+L5</f>
        <v>413</v>
      </c>
      <c r="N5" s="95">
        <v>0</v>
      </c>
      <c r="O5" s="95">
        <f>N5*11</f>
        <v>0</v>
      </c>
      <c r="P5" s="95"/>
      <c r="Q5" s="95">
        <f>P5*11</f>
        <v>0</v>
      </c>
      <c r="R5" s="95">
        <f>P5+N5</f>
        <v>0</v>
      </c>
      <c r="S5" s="95">
        <f>O5+Q5</f>
        <v>0</v>
      </c>
      <c r="T5" s="95">
        <v>20</v>
      </c>
      <c r="U5" s="95">
        <f>T5*10</f>
        <v>200</v>
      </c>
      <c r="V5" s="95">
        <v>0</v>
      </c>
      <c r="W5" s="95">
        <f>V5*15</f>
        <v>0</v>
      </c>
      <c r="X5" s="95">
        <f>V5+T5</f>
        <v>20</v>
      </c>
      <c r="Y5" s="95">
        <f>W5+U5</f>
        <v>200</v>
      </c>
      <c r="Z5" s="95">
        <v>602100</v>
      </c>
      <c r="AA5" s="89">
        <v>0</v>
      </c>
      <c r="AB5" s="89">
        <v>0</v>
      </c>
      <c r="AC5" s="89">
        <f t="shared" ref="AC5:AC31" si="1">H5+I5+J5+M5+S5+Y5+Z5+AA5+AB5</f>
        <v>771674.49900000007</v>
      </c>
      <c r="AE5" s="89">
        <v>1</v>
      </c>
      <c r="AF5" s="89" t="s">
        <v>27</v>
      </c>
      <c r="AG5" s="94">
        <f t="shared" ref="AG5:AG31" si="2">D5*$K$38*$L$38</f>
        <v>23250.5</v>
      </c>
      <c r="AH5" s="94">
        <f t="shared" ref="AH5:AH31" si="3">E5*$L$39*$K$39</f>
        <v>1460</v>
      </c>
      <c r="AI5" s="94">
        <f t="shared" ref="AI5:AI31" si="4">F5*$K$40*$L$40</f>
        <v>420.48000000000008</v>
      </c>
      <c r="AJ5" s="94">
        <f t="shared" ref="AJ5:AJ31" si="5">G5*$I$41*$H$41</f>
        <v>49.64</v>
      </c>
      <c r="AK5" s="94">
        <v>0</v>
      </c>
      <c r="AL5" s="94">
        <f>AJ5+AK5</f>
        <v>49.64</v>
      </c>
      <c r="AM5" s="95">
        <f>(N5+(O5*2))*$K$42*$L$42</f>
        <v>0</v>
      </c>
      <c r="AN5" s="95">
        <f t="shared" ref="AN5:AN31" si="6">(Q5+P5)*$K$42*$L$42</f>
        <v>0</v>
      </c>
      <c r="AO5" s="95">
        <f>AM5+AN5</f>
        <v>0</v>
      </c>
      <c r="AP5" s="95">
        <f t="shared" ref="AP5:AP31" si="7">(U5+(T5/8))*$K$43*$L$43</f>
        <v>11340</v>
      </c>
      <c r="AQ5" s="95">
        <f t="shared" ref="AQ5:AQ31" si="8">(W5+(V5/8))*$K$43*$L$43</f>
        <v>0</v>
      </c>
      <c r="AR5" s="95">
        <f>AP5+AQ5</f>
        <v>11340</v>
      </c>
      <c r="AS5" s="89">
        <f t="shared" ref="AS5:AS31" si="9">Z5*$K$47*$L$47</f>
        <v>1143990</v>
      </c>
      <c r="AT5" s="89">
        <v>0</v>
      </c>
      <c r="AU5" s="89">
        <v>0</v>
      </c>
      <c r="AV5" s="89">
        <f>AG5+AH5+AI5+AL5+AO5+AR5+AS5+AT5+AU5</f>
        <v>1180510.6200000001</v>
      </c>
      <c r="AW5" s="89">
        <v>1</v>
      </c>
      <c r="AX5" s="89" t="s">
        <v>27</v>
      </c>
      <c r="AY5" s="94">
        <f>H5*0.024</f>
        <v>3607.32</v>
      </c>
      <c r="AZ5" s="94">
        <f>I5*0.024</f>
        <v>376.27199999999999</v>
      </c>
      <c r="BA5" s="94">
        <f>J5*0.024</f>
        <v>71.483975999999998</v>
      </c>
      <c r="BB5" s="94">
        <f>K5*0.024</f>
        <v>9.9120000000000008</v>
      </c>
      <c r="BC5" s="94">
        <f>L5*0.024</f>
        <v>0</v>
      </c>
      <c r="BD5" s="94">
        <f>BB5+BC5</f>
        <v>9.9120000000000008</v>
      </c>
      <c r="BE5" s="95">
        <f>N5*0.024</f>
        <v>0</v>
      </c>
      <c r="BF5" s="95">
        <f>AN5*0.024</f>
        <v>0</v>
      </c>
      <c r="BG5" s="95">
        <f>BE5+BF5</f>
        <v>0</v>
      </c>
      <c r="BH5" s="95">
        <f>T5*0.024</f>
        <v>0.48</v>
      </c>
      <c r="BI5" s="95">
        <f>V5*0.024</f>
        <v>0</v>
      </c>
      <c r="BJ5" s="95">
        <f>BH5+BI5</f>
        <v>0.48</v>
      </c>
      <c r="BK5" s="89">
        <f>Z5*0.004</f>
        <v>2408.4</v>
      </c>
      <c r="BL5" s="89">
        <f>AA5*0.004</f>
        <v>0</v>
      </c>
      <c r="BM5" s="89">
        <f>AB5*0.004</f>
        <v>0</v>
      </c>
      <c r="BN5" s="89">
        <f>AY5+AZ5+BA5+BD5+BG5+BJ5+BK5+BL5+BM5</f>
        <v>6473.8679759999995</v>
      </c>
      <c r="BO5" s="96">
        <f t="shared" ref="BO5:BO31" si="10">I5+J5+K5</f>
        <v>19069.499</v>
      </c>
      <c r="BP5" s="97">
        <f>(AH5+AI5+AJ5)/1000</f>
        <v>1.9301200000000001</v>
      </c>
      <c r="BQ5" s="89">
        <v>1</v>
      </c>
      <c r="BR5" s="89" t="s">
        <v>27</v>
      </c>
      <c r="BS5" s="94">
        <f t="shared" ref="BS5:BS31" si="11">D5*$I$38*$H$38*$J$38</f>
        <v>93129.75</v>
      </c>
      <c r="BT5" s="94">
        <f t="shared" ref="BT5:BT31" si="12">E5*$I$39*$H$39*$J$39</f>
        <v>2759.4</v>
      </c>
      <c r="BU5" s="94">
        <f t="shared" ref="BU5:BU31" si="13">F5*$I$40*$H$40*$J$40</f>
        <v>525.6</v>
      </c>
      <c r="BV5" s="94">
        <f t="shared" ref="BV5:BV31" si="14">G5*$I$41*$H$41*$J$41</f>
        <v>22.338000000000001</v>
      </c>
      <c r="BW5" s="94">
        <v>0</v>
      </c>
      <c r="BX5" s="94">
        <f>BV5+BW5</f>
        <v>22.338000000000001</v>
      </c>
      <c r="BY5" s="95">
        <f t="shared" ref="BY5:BY31" si="15">N5*$I$42*$H$42*$J$42</f>
        <v>0</v>
      </c>
      <c r="BZ5" s="95">
        <f t="shared" ref="BZ5:BZ31" si="16">P5*$I$42*$H$42*$J$42</f>
        <v>0</v>
      </c>
      <c r="CA5" s="95">
        <f>BY5+BZ5</f>
        <v>0</v>
      </c>
      <c r="CB5" s="95">
        <f t="shared" ref="CB5:CB31" si="17">T5*$I$43*$H$43*$J$43</f>
        <v>480</v>
      </c>
      <c r="CC5" s="95">
        <f t="shared" ref="CC5:CC31" si="18">V5*$I$43*$H$43*$J$43</f>
        <v>0</v>
      </c>
      <c r="CD5" s="95">
        <f>CB5+CC5</f>
        <v>480</v>
      </c>
      <c r="CE5" s="89">
        <v>0</v>
      </c>
      <c r="CF5" s="89"/>
      <c r="CG5" s="89"/>
      <c r="CH5" s="89">
        <f>BS5+BT5+BU5+BX5+CA5+CD5+CE5+CF5+CG5</f>
        <v>96917.088000000003</v>
      </c>
      <c r="CI5" s="89">
        <v>1</v>
      </c>
      <c r="CJ5" s="89" t="s">
        <v>27</v>
      </c>
      <c r="CK5" s="98">
        <f t="shared" ref="CK5:CM31" si="19">H5/2000</f>
        <v>75.152500000000003</v>
      </c>
      <c r="CL5" s="98">
        <f t="shared" si="19"/>
        <v>7.8390000000000004</v>
      </c>
      <c r="CM5" s="98">
        <f t="shared" si="19"/>
        <v>1.4892494999999999</v>
      </c>
      <c r="CN5" s="98">
        <f>K5/1000</f>
        <v>0.41299999999999998</v>
      </c>
      <c r="CO5" s="98">
        <f>L5/1000</f>
        <v>0</v>
      </c>
      <c r="CP5" s="94">
        <f>CN5+CO5</f>
        <v>0.41299999999999998</v>
      </c>
      <c r="CQ5" s="98">
        <f t="shared" ref="CQ5:CQ31" si="20">N5/2000</f>
        <v>0</v>
      </c>
      <c r="CR5" s="98">
        <f t="shared" ref="CR5:CR31" si="21">Q5/2000</f>
        <v>0</v>
      </c>
      <c r="CS5" s="95">
        <f>CQ5+CR5</f>
        <v>0</v>
      </c>
      <c r="CT5" s="98">
        <f>T5/10</f>
        <v>2</v>
      </c>
      <c r="CU5" s="98">
        <f>V5/20</f>
        <v>0</v>
      </c>
      <c r="CV5" s="95">
        <f>CT5+CU5</f>
        <v>2</v>
      </c>
      <c r="CW5" s="89">
        <f>(Z5/20000)/4</f>
        <v>7.5262500000000001</v>
      </c>
      <c r="CX5" s="89"/>
      <c r="CY5" s="89"/>
      <c r="CZ5" s="89">
        <f>CK5+CL5+CM5+CP5+CS5+CV5+CW5+CX5+CY5</f>
        <v>94.419999500000003</v>
      </c>
      <c r="DA5" s="89">
        <f>CZ5-(CO5+CR5+CU5+CW5+CX5+CY5)</f>
        <v>86.893749499999998</v>
      </c>
    </row>
    <row r="6" spans="1:105" s="96" customFormat="1" ht="26.25" x14ac:dyDescent="0.7">
      <c r="A6" s="89">
        <v>2</v>
      </c>
      <c r="B6" s="89" t="s">
        <v>65</v>
      </c>
      <c r="C6" s="90">
        <v>1</v>
      </c>
      <c r="D6" s="90">
        <f t="shared" ref="D6:D31" si="22">C6*700</f>
        <v>700</v>
      </c>
      <c r="E6" s="90">
        <f>$C6*250*1</f>
        <v>250</v>
      </c>
      <c r="F6" s="90">
        <f>$C6*50*1</f>
        <v>50</v>
      </c>
      <c r="G6" s="90">
        <f>$C6*20*1</f>
        <v>20</v>
      </c>
      <c r="H6" s="91">
        <v>13250</v>
      </c>
      <c r="I6" s="92">
        <v>130</v>
      </c>
      <c r="J6" s="93">
        <v>100.245</v>
      </c>
      <c r="K6" s="92">
        <v>150</v>
      </c>
      <c r="L6" s="94">
        <v>0</v>
      </c>
      <c r="M6" s="94">
        <f t="shared" si="0"/>
        <v>150</v>
      </c>
      <c r="N6" s="94">
        <v>5000</v>
      </c>
      <c r="O6" s="95">
        <f>N6*6</f>
        <v>30000</v>
      </c>
      <c r="P6" s="94"/>
      <c r="Q6" s="95">
        <f t="shared" ref="Q6:Q31" si="23">P6*11</f>
        <v>0</v>
      </c>
      <c r="R6" s="95">
        <f t="shared" ref="R6:R31" si="24">P6+N6</f>
        <v>5000</v>
      </c>
      <c r="S6" s="95">
        <f t="shared" ref="S6:S31" si="25">O6+Q6</f>
        <v>30000</v>
      </c>
      <c r="T6" s="94">
        <v>0</v>
      </c>
      <c r="U6" s="95">
        <f t="shared" ref="U6:U29" si="26">T6*10</f>
        <v>0</v>
      </c>
      <c r="V6" s="94">
        <v>0</v>
      </c>
      <c r="W6" s="95">
        <f t="shared" ref="W6:W31" si="27">V6*15</f>
        <v>0</v>
      </c>
      <c r="X6" s="95">
        <f t="shared" ref="X6:Y31" si="28">V6+T6</f>
        <v>0</v>
      </c>
      <c r="Y6" s="95">
        <f t="shared" si="28"/>
        <v>0</v>
      </c>
      <c r="Z6" s="95"/>
      <c r="AA6" s="89">
        <v>0</v>
      </c>
      <c r="AB6" s="89">
        <v>0</v>
      </c>
      <c r="AC6" s="89">
        <f t="shared" si="1"/>
        <v>43630.245000000003</v>
      </c>
      <c r="AE6" s="89">
        <v>2</v>
      </c>
      <c r="AF6" s="89" t="s">
        <v>65</v>
      </c>
      <c r="AG6" s="94">
        <f t="shared" si="2"/>
        <v>318.5</v>
      </c>
      <c r="AH6" s="94">
        <f t="shared" si="3"/>
        <v>250</v>
      </c>
      <c r="AI6" s="94">
        <f t="shared" si="4"/>
        <v>72</v>
      </c>
      <c r="AJ6" s="94">
        <f t="shared" si="5"/>
        <v>68</v>
      </c>
      <c r="AK6" s="94">
        <f t="shared" ref="AK6:AK31" si="29">L6*$K$46*$L$46</f>
        <v>0</v>
      </c>
      <c r="AL6" s="94">
        <f t="shared" ref="AL6:AL31" si="30">AJ6+AK6</f>
        <v>68</v>
      </c>
      <c r="AM6" s="95">
        <f t="shared" ref="AM6:AM31" si="31">(N6+O6)*$K$42*$L$42</f>
        <v>5355</v>
      </c>
      <c r="AN6" s="95">
        <f t="shared" si="6"/>
        <v>0</v>
      </c>
      <c r="AO6" s="95">
        <f t="shared" ref="AO6:AO31" si="32">AM6+AN6</f>
        <v>5355</v>
      </c>
      <c r="AP6" s="95">
        <f t="shared" si="7"/>
        <v>0</v>
      </c>
      <c r="AQ6" s="95">
        <f t="shared" si="8"/>
        <v>0</v>
      </c>
      <c r="AR6" s="95">
        <f t="shared" ref="AR6:AR31" si="33">AP6+AQ6</f>
        <v>0</v>
      </c>
      <c r="AS6" s="89">
        <f t="shared" si="9"/>
        <v>0</v>
      </c>
      <c r="AT6" s="89">
        <v>0</v>
      </c>
      <c r="AU6" s="89">
        <v>0</v>
      </c>
      <c r="AV6" s="89">
        <f t="shared" ref="AV6:AV30" si="34">AG6+AH6+AI6+AL6+AO6+AR6+AS6+AT6+AU6</f>
        <v>6063.5</v>
      </c>
      <c r="AW6" s="89">
        <v>2</v>
      </c>
      <c r="AX6" s="89" t="s">
        <v>65</v>
      </c>
      <c r="AY6" s="94">
        <f t="shared" ref="AY6:BC32" si="35">H6*0.024</f>
        <v>318</v>
      </c>
      <c r="AZ6" s="94">
        <f t="shared" si="35"/>
        <v>3.12</v>
      </c>
      <c r="BA6" s="94">
        <f t="shared" si="35"/>
        <v>2.4058800000000002</v>
      </c>
      <c r="BB6" s="94">
        <f t="shared" si="35"/>
        <v>3.6</v>
      </c>
      <c r="BC6" s="94">
        <f t="shared" si="35"/>
        <v>0</v>
      </c>
      <c r="BD6" s="94">
        <f t="shared" ref="BD6:BD32" si="36">BB6+BC6</f>
        <v>3.6</v>
      </c>
      <c r="BE6" s="95">
        <f t="shared" ref="BE6:BE32" si="37">N6*0.024</f>
        <v>120</v>
      </c>
      <c r="BF6" s="95">
        <f t="shared" ref="BF6:BF32" si="38">AN6*0.024</f>
        <v>0</v>
      </c>
      <c r="BG6" s="95">
        <f t="shared" ref="BG6:BG32" si="39">BE6+BF6</f>
        <v>120</v>
      </c>
      <c r="BH6" s="95">
        <f t="shared" ref="BH6:BH32" si="40">T6*0.024</f>
        <v>0</v>
      </c>
      <c r="BI6" s="95">
        <f t="shared" ref="BI6:BI32" si="41">V6*0.024</f>
        <v>0</v>
      </c>
      <c r="BJ6" s="95">
        <f t="shared" ref="BJ6:BJ31" si="42">BH6+BI6</f>
        <v>0</v>
      </c>
      <c r="BK6" s="89">
        <f t="shared" ref="BK6:BM32" si="43">Z6*0.004</f>
        <v>0</v>
      </c>
      <c r="BL6" s="89">
        <f t="shared" si="43"/>
        <v>0</v>
      </c>
      <c r="BM6" s="89">
        <f t="shared" si="43"/>
        <v>0</v>
      </c>
      <c r="BN6" s="89">
        <f t="shared" ref="BN6:BN31" si="44">AY6+AZ6+BA6+BD6+BG6+BJ6+BK6+BL6+BM6</f>
        <v>447.12588000000005</v>
      </c>
      <c r="BO6" s="96">
        <f t="shared" si="10"/>
        <v>380.245</v>
      </c>
      <c r="BP6" s="97">
        <f t="shared" ref="BP6:BP31" si="45">(AH6+AI6+AJ6)/1000</f>
        <v>0.39</v>
      </c>
      <c r="BQ6" s="89">
        <v>2</v>
      </c>
      <c r="BR6" s="89" t="s">
        <v>65</v>
      </c>
      <c r="BS6" s="94">
        <f t="shared" si="11"/>
        <v>1275.75</v>
      </c>
      <c r="BT6" s="94">
        <f t="shared" si="12"/>
        <v>472.5</v>
      </c>
      <c r="BU6" s="94">
        <f t="shared" si="13"/>
        <v>90</v>
      </c>
      <c r="BV6" s="94">
        <f t="shared" si="14"/>
        <v>30.6</v>
      </c>
      <c r="BW6" s="94">
        <v>0</v>
      </c>
      <c r="BX6" s="94">
        <f t="shared" ref="BX6:BX31" si="46">BV6+BW6</f>
        <v>30.6</v>
      </c>
      <c r="BY6" s="95">
        <f t="shared" si="15"/>
        <v>11687.5</v>
      </c>
      <c r="BZ6" s="95">
        <f t="shared" si="16"/>
        <v>0</v>
      </c>
      <c r="CA6" s="95">
        <f t="shared" ref="CA6:CA31" si="47">BY6+BZ6</f>
        <v>11687.5</v>
      </c>
      <c r="CB6" s="95">
        <f t="shared" si="17"/>
        <v>0</v>
      </c>
      <c r="CC6" s="95">
        <f t="shared" si="18"/>
        <v>0</v>
      </c>
      <c r="CD6" s="95">
        <f t="shared" ref="CD6:CD31" si="48">CB6+CC6</f>
        <v>0</v>
      </c>
      <c r="CE6" s="89">
        <v>0</v>
      </c>
      <c r="CF6" s="89"/>
      <c r="CG6" s="89"/>
      <c r="CH6" s="89">
        <f t="shared" ref="CH6:CH31" si="49">BS6+BT6+BU6+BX6+CA6+CD6+CE6+CF6+CG6</f>
        <v>13556.35</v>
      </c>
      <c r="CI6" s="89">
        <v>2</v>
      </c>
      <c r="CJ6" s="89" t="s">
        <v>65</v>
      </c>
      <c r="CK6" s="98">
        <f t="shared" si="19"/>
        <v>6.625</v>
      </c>
      <c r="CL6" s="98">
        <f t="shared" si="19"/>
        <v>6.5000000000000002E-2</v>
      </c>
      <c r="CM6" s="98">
        <f t="shared" si="19"/>
        <v>5.01225E-2</v>
      </c>
      <c r="CN6" s="98">
        <f t="shared" ref="CN6:CO32" si="50">K6/1000</f>
        <v>0.15</v>
      </c>
      <c r="CO6" s="98">
        <f t="shared" si="50"/>
        <v>0</v>
      </c>
      <c r="CP6" s="94">
        <f t="shared" ref="CP6:CP31" si="51">CN6+CO6</f>
        <v>0.15</v>
      </c>
      <c r="CQ6" s="98">
        <f t="shared" si="20"/>
        <v>2.5</v>
      </c>
      <c r="CR6" s="98">
        <f t="shared" si="21"/>
        <v>0</v>
      </c>
      <c r="CS6" s="95">
        <f t="shared" ref="CS6:CS31" si="52">CQ6+CR6</f>
        <v>2.5</v>
      </c>
      <c r="CT6" s="98">
        <f t="shared" ref="CT6:CT32" si="53">T6/10</f>
        <v>0</v>
      </c>
      <c r="CU6" s="98">
        <f t="shared" ref="CU6:CU32" si="54">V6/20</f>
        <v>0</v>
      </c>
      <c r="CV6" s="95">
        <f t="shared" ref="CV6:CV31" si="55">CT6+CU6</f>
        <v>0</v>
      </c>
      <c r="CW6" s="89">
        <f t="shared" ref="CW6:CW31" si="56">(Z6/20000)/4</f>
        <v>0</v>
      </c>
      <c r="CX6" s="89"/>
      <c r="CY6" s="89"/>
      <c r="CZ6" s="89">
        <f t="shared" ref="CZ6:CZ31" si="57">CK6+CL6+CM6+CP6+CS6+CV6+CW6+CX6+CY6</f>
        <v>9.3901225000000004</v>
      </c>
      <c r="DA6" s="89">
        <f t="shared" ref="DA6:DA32" si="58">CZ6-(CO6+CR6+CU6+CW6+CX6+CY6)</f>
        <v>9.3901225000000004</v>
      </c>
    </row>
    <row r="7" spans="1:105" s="96" customFormat="1" ht="26.25" x14ac:dyDescent="0.7">
      <c r="A7" s="89">
        <v>3</v>
      </c>
      <c r="B7" s="89" t="s">
        <v>66</v>
      </c>
      <c r="C7" s="90">
        <v>70</v>
      </c>
      <c r="D7" s="90">
        <f t="shared" si="22"/>
        <v>49000</v>
      </c>
      <c r="E7" s="90">
        <f>$C7*250*0.05</f>
        <v>875</v>
      </c>
      <c r="F7" s="90">
        <f>$C7*50*0.05</f>
        <v>175</v>
      </c>
      <c r="G7" s="90">
        <f>$C7*20*0.01</f>
        <v>14</v>
      </c>
      <c r="H7" s="91">
        <v>51017</v>
      </c>
      <c r="I7" s="99">
        <v>10449</v>
      </c>
      <c r="J7" s="93">
        <v>1998.0539999999999</v>
      </c>
      <c r="K7" s="99">
        <v>564</v>
      </c>
      <c r="L7" s="94">
        <v>0</v>
      </c>
      <c r="M7" s="94">
        <f t="shared" si="0"/>
        <v>564</v>
      </c>
      <c r="N7" s="94">
        <v>4000</v>
      </c>
      <c r="O7" s="95">
        <f t="shared" ref="O7:O31" si="59">N7*6</f>
        <v>24000</v>
      </c>
      <c r="P7" s="94"/>
      <c r="Q7" s="95">
        <f t="shared" si="23"/>
        <v>0</v>
      </c>
      <c r="R7" s="95">
        <f t="shared" si="24"/>
        <v>4000</v>
      </c>
      <c r="S7" s="95">
        <f t="shared" si="25"/>
        <v>24000</v>
      </c>
      <c r="T7" s="94">
        <v>12</v>
      </c>
      <c r="U7" s="95">
        <f t="shared" si="26"/>
        <v>120</v>
      </c>
      <c r="V7" s="94">
        <v>0</v>
      </c>
      <c r="W7" s="95">
        <f t="shared" si="27"/>
        <v>0</v>
      </c>
      <c r="X7" s="95">
        <f t="shared" si="28"/>
        <v>12</v>
      </c>
      <c r="Y7" s="95">
        <f t="shared" si="28"/>
        <v>120</v>
      </c>
      <c r="Z7" s="95">
        <v>336130</v>
      </c>
      <c r="AA7" s="89">
        <v>0</v>
      </c>
      <c r="AB7" s="89">
        <v>0</v>
      </c>
      <c r="AC7" s="89">
        <f t="shared" si="1"/>
        <v>424278.054</v>
      </c>
      <c r="AE7" s="89">
        <v>3</v>
      </c>
      <c r="AF7" s="89" t="s">
        <v>66</v>
      </c>
      <c r="AG7" s="94">
        <f t="shared" si="2"/>
        <v>22295</v>
      </c>
      <c r="AH7" s="94">
        <f t="shared" si="3"/>
        <v>875</v>
      </c>
      <c r="AI7" s="94">
        <f t="shared" si="4"/>
        <v>252</v>
      </c>
      <c r="AJ7" s="94">
        <f t="shared" si="5"/>
        <v>47.6</v>
      </c>
      <c r="AK7" s="94">
        <f t="shared" si="29"/>
        <v>0</v>
      </c>
      <c r="AL7" s="94">
        <f t="shared" si="30"/>
        <v>47.6</v>
      </c>
      <c r="AM7" s="95">
        <f t="shared" si="31"/>
        <v>4284</v>
      </c>
      <c r="AN7" s="95">
        <f t="shared" si="6"/>
        <v>0</v>
      </c>
      <c r="AO7" s="95">
        <f t="shared" si="32"/>
        <v>4284</v>
      </c>
      <c r="AP7" s="95">
        <f t="shared" si="7"/>
        <v>6804</v>
      </c>
      <c r="AQ7" s="95">
        <f t="shared" si="8"/>
        <v>0</v>
      </c>
      <c r="AR7" s="95">
        <f t="shared" si="33"/>
        <v>6804</v>
      </c>
      <c r="AS7" s="89">
        <f t="shared" si="9"/>
        <v>638647</v>
      </c>
      <c r="AT7" s="89">
        <v>0</v>
      </c>
      <c r="AU7" s="89">
        <v>0</v>
      </c>
      <c r="AV7" s="89">
        <f t="shared" si="34"/>
        <v>673204.6</v>
      </c>
      <c r="AW7" s="89">
        <v>3</v>
      </c>
      <c r="AX7" s="89" t="s">
        <v>66</v>
      </c>
      <c r="AY7" s="94">
        <f t="shared" si="35"/>
        <v>1224.4080000000001</v>
      </c>
      <c r="AZ7" s="94">
        <f t="shared" si="35"/>
        <v>250.77600000000001</v>
      </c>
      <c r="BA7" s="94">
        <f t="shared" si="35"/>
        <v>47.953295999999995</v>
      </c>
      <c r="BB7" s="94">
        <f t="shared" si="35"/>
        <v>13.536</v>
      </c>
      <c r="BC7" s="94">
        <f t="shared" si="35"/>
        <v>0</v>
      </c>
      <c r="BD7" s="94">
        <f t="shared" si="36"/>
        <v>13.536</v>
      </c>
      <c r="BE7" s="95">
        <f t="shared" si="37"/>
        <v>96</v>
      </c>
      <c r="BF7" s="95">
        <f t="shared" si="38"/>
        <v>0</v>
      </c>
      <c r="BG7" s="95">
        <f t="shared" si="39"/>
        <v>96</v>
      </c>
      <c r="BH7" s="95">
        <f t="shared" si="40"/>
        <v>0.28800000000000003</v>
      </c>
      <c r="BI7" s="95">
        <f t="shared" si="41"/>
        <v>0</v>
      </c>
      <c r="BJ7" s="95">
        <f t="shared" si="42"/>
        <v>0.28800000000000003</v>
      </c>
      <c r="BK7" s="89">
        <f t="shared" si="43"/>
        <v>1344.52</v>
      </c>
      <c r="BL7" s="89">
        <f t="shared" si="43"/>
        <v>0</v>
      </c>
      <c r="BM7" s="89">
        <f t="shared" si="43"/>
        <v>0</v>
      </c>
      <c r="BN7" s="89">
        <f t="shared" si="44"/>
        <v>2977.4812959999999</v>
      </c>
      <c r="BO7" s="96">
        <f t="shared" si="10"/>
        <v>13011.054</v>
      </c>
      <c r="BP7" s="97">
        <f t="shared" si="45"/>
        <v>1.1745999999999999</v>
      </c>
      <c r="BQ7" s="89">
        <v>3</v>
      </c>
      <c r="BR7" s="89" t="s">
        <v>66</v>
      </c>
      <c r="BS7" s="94">
        <f t="shared" si="11"/>
        <v>89302.5</v>
      </c>
      <c r="BT7" s="94">
        <f t="shared" si="12"/>
        <v>1653.75</v>
      </c>
      <c r="BU7" s="94">
        <f t="shared" si="13"/>
        <v>315</v>
      </c>
      <c r="BV7" s="94">
        <f t="shared" si="14"/>
        <v>21.42</v>
      </c>
      <c r="BW7" s="94">
        <v>0</v>
      </c>
      <c r="BX7" s="94">
        <f t="shared" si="46"/>
        <v>21.42</v>
      </c>
      <c r="BY7" s="95">
        <f t="shared" si="15"/>
        <v>9350</v>
      </c>
      <c r="BZ7" s="95">
        <f t="shared" si="16"/>
        <v>0</v>
      </c>
      <c r="CA7" s="95">
        <f t="shared" si="47"/>
        <v>9350</v>
      </c>
      <c r="CB7" s="95">
        <f t="shared" si="17"/>
        <v>288</v>
      </c>
      <c r="CC7" s="95">
        <f t="shared" si="18"/>
        <v>0</v>
      </c>
      <c r="CD7" s="95">
        <f t="shared" si="48"/>
        <v>288</v>
      </c>
      <c r="CE7" s="89">
        <v>0</v>
      </c>
      <c r="CF7" s="89"/>
      <c r="CG7" s="89"/>
      <c r="CH7" s="89">
        <f t="shared" si="49"/>
        <v>100930.67</v>
      </c>
      <c r="CI7" s="89">
        <v>3</v>
      </c>
      <c r="CJ7" s="89" t="s">
        <v>66</v>
      </c>
      <c r="CK7" s="98">
        <f t="shared" si="19"/>
        <v>25.508500000000002</v>
      </c>
      <c r="CL7" s="98">
        <f t="shared" si="19"/>
        <v>5.2244999999999999</v>
      </c>
      <c r="CM7" s="98">
        <f t="shared" si="19"/>
        <v>0.99902699999999989</v>
      </c>
      <c r="CN7" s="98">
        <f t="shared" si="50"/>
        <v>0.56399999999999995</v>
      </c>
      <c r="CO7" s="98">
        <f t="shared" si="50"/>
        <v>0</v>
      </c>
      <c r="CP7" s="94">
        <f t="shared" si="51"/>
        <v>0.56399999999999995</v>
      </c>
      <c r="CQ7" s="98">
        <f t="shared" si="20"/>
        <v>2</v>
      </c>
      <c r="CR7" s="98">
        <f t="shared" si="21"/>
        <v>0</v>
      </c>
      <c r="CS7" s="95">
        <f t="shared" si="52"/>
        <v>2</v>
      </c>
      <c r="CT7" s="98">
        <f t="shared" si="53"/>
        <v>1.2</v>
      </c>
      <c r="CU7" s="98">
        <f t="shared" si="54"/>
        <v>0</v>
      </c>
      <c r="CV7" s="95">
        <f t="shared" si="55"/>
        <v>1.2</v>
      </c>
      <c r="CW7" s="89">
        <f t="shared" si="56"/>
        <v>4.2016249999999999</v>
      </c>
      <c r="CX7" s="89"/>
      <c r="CY7" s="89"/>
      <c r="CZ7" s="89">
        <f t="shared" si="57"/>
        <v>39.697652000000005</v>
      </c>
      <c r="DA7" s="89">
        <f t="shared" si="58"/>
        <v>35.496027000000005</v>
      </c>
    </row>
    <row r="8" spans="1:105" s="96" customFormat="1" ht="26.25" x14ac:dyDescent="0.7">
      <c r="A8" s="89">
        <v>4</v>
      </c>
      <c r="B8" s="89" t="s">
        <v>30</v>
      </c>
      <c r="C8" s="90">
        <v>347</v>
      </c>
      <c r="D8" s="90">
        <f t="shared" si="22"/>
        <v>242900</v>
      </c>
      <c r="E8" s="90">
        <f>$C8*250*0.01</f>
        <v>867.5</v>
      </c>
      <c r="F8" s="90">
        <f>$C8*50*0.01</f>
        <v>173.5</v>
      </c>
      <c r="G8" s="90">
        <f>$C8*20*0.01</f>
        <v>69.400000000000006</v>
      </c>
      <c r="H8" s="91">
        <v>36971</v>
      </c>
      <c r="I8" s="99">
        <v>0</v>
      </c>
      <c r="J8" s="93">
        <v>0</v>
      </c>
      <c r="K8" s="99">
        <v>315</v>
      </c>
      <c r="L8" s="95">
        <v>0</v>
      </c>
      <c r="M8" s="94">
        <f t="shared" si="0"/>
        <v>315</v>
      </c>
      <c r="N8" s="95">
        <v>0</v>
      </c>
      <c r="O8" s="95">
        <f t="shared" si="59"/>
        <v>0</v>
      </c>
      <c r="P8" s="95"/>
      <c r="Q8" s="95">
        <f t="shared" si="23"/>
        <v>0</v>
      </c>
      <c r="R8" s="95">
        <f t="shared" si="24"/>
        <v>0</v>
      </c>
      <c r="S8" s="95">
        <f t="shared" si="25"/>
        <v>0</v>
      </c>
      <c r="T8" s="95">
        <v>0</v>
      </c>
      <c r="U8" s="95">
        <f t="shared" si="26"/>
        <v>0</v>
      </c>
      <c r="V8" s="95">
        <v>0</v>
      </c>
      <c r="W8" s="95">
        <f t="shared" si="27"/>
        <v>0</v>
      </c>
      <c r="X8" s="95">
        <f t="shared" si="28"/>
        <v>0</v>
      </c>
      <c r="Y8" s="95">
        <f t="shared" si="28"/>
        <v>0</v>
      </c>
      <c r="Z8" s="95">
        <v>752851</v>
      </c>
      <c r="AA8" s="89">
        <v>0</v>
      </c>
      <c r="AB8" s="89">
        <v>0</v>
      </c>
      <c r="AC8" s="89">
        <f t="shared" si="1"/>
        <v>790137</v>
      </c>
      <c r="AE8" s="89">
        <v>4</v>
      </c>
      <c r="AF8" s="89" t="s">
        <v>30</v>
      </c>
      <c r="AG8" s="94">
        <f t="shared" si="2"/>
        <v>110519.5</v>
      </c>
      <c r="AH8" s="94">
        <f t="shared" si="3"/>
        <v>867.5</v>
      </c>
      <c r="AI8" s="94">
        <f t="shared" si="4"/>
        <v>249.84000000000003</v>
      </c>
      <c r="AJ8" s="94">
        <f t="shared" si="5"/>
        <v>235.96000000000004</v>
      </c>
      <c r="AK8" s="94">
        <f t="shared" si="29"/>
        <v>0</v>
      </c>
      <c r="AL8" s="94">
        <f t="shared" si="30"/>
        <v>235.96000000000004</v>
      </c>
      <c r="AM8" s="95">
        <f t="shared" si="31"/>
        <v>0</v>
      </c>
      <c r="AN8" s="95">
        <f t="shared" si="6"/>
        <v>0</v>
      </c>
      <c r="AO8" s="95">
        <f t="shared" si="32"/>
        <v>0</v>
      </c>
      <c r="AP8" s="95">
        <f t="shared" si="7"/>
        <v>0</v>
      </c>
      <c r="AQ8" s="95">
        <f t="shared" si="8"/>
        <v>0</v>
      </c>
      <c r="AR8" s="95">
        <f t="shared" si="33"/>
        <v>0</v>
      </c>
      <c r="AS8" s="89">
        <f t="shared" si="9"/>
        <v>1430416.9</v>
      </c>
      <c r="AT8" s="89">
        <v>0</v>
      </c>
      <c r="AU8" s="89">
        <v>0</v>
      </c>
      <c r="AV8" s="89">
        <f t="shared" si="34"/>
        <v>1542289.7</v>
      </c>
      <c r="AW8" s="89">
        <v>4</v>
      </c>
      <c r="AX8" s="89" t="s">
        <v>30</v>
      </c>
      <c r="AY8" s="94">
        <f t="shared" si="35"/>
        <v>887.30399999999997</v>
      </c>
      <c r="AZ8" s="94">
        <f t="shared" si="35"/>
        <v>0</v>
      </c>
      <c r="BA8" s="94">
        <f t="shared" si="35"/>
        <v>0</v>
      </c>
      <c r="BB8" s="94">
        <f t="shared" si="35"/>
        <v>7.5600000000000005</v>
      </c>
      <c r="BC8" s="94">
        <f t="shared" si="35"/>
        <v>0</v>
      </c>
      <c r="BD8" s="94">
        <f t="shared" si="36"/>
        <v>7.5600000000000005</v>
      </c>
      <c r="BE8" s="95">
        <f t="shared" si="37"/>
        <v>0</v>
      </c>
      <c r="BF8" s="95">
        <f t="shared" si="38"/>
        <v>0</v>
      </c>
      <c r="BG8" s="95">
        <f t="shared" si="39"/>
        <v>0</v>
      </c>
      <c r="BH8" s="95">
        <f t="shared" si="40"/>
        <v>0</v>
      </c>
      <c r="BI8" s="95">
        <f t="shared" si="41"/>
        <v>0</v>
      </c>
      <c r="BJ8" s="95">
        <f t="shared" si="42"/>
        <v>0</v>
      </c>
      <c r="BK8" s="89">
        <f t="shared" si="43"/>
        <v>3011.404</v>
      </c>
      <c r="BL8" s="89">
        <f t="shared" si="43"/>
        <v>0</v>
      </c>
      <c r="BM8" s="89">
        <f t="shared" si="43"/>
        <v>0</v>
      </c>
      <c r="BN8" s="89">
        <f t="shared" si="44"/>
        <v>3906.268</v>
      </c>
      <c r="BO8" s="96">
        <f t="shared" si="10"/>
        <v>315</v>
      </c>
      <c r="BP8" s="97">
        <f t="shared" si="45"/>
        <v>1.3533000000000002</v>
      </c>
      <c r="BQ8" s="89">
        <v>4</v>
      </c>
      <c r="BR8" s="89" t="s">
        <v>30</v>
      </c>
      <c r="BS8" s="94">
        <f t="shared" si="11"/>
        <v>442685.25</v>
      </c>
      <c r="BT8" s="94">
        <f t="shared" si="12"/>
        <v>1639.575</v>
      </c>
      <c r="BU8" s="94">
        <f t="shared" si="13"/>
        <v>312.3</v>
      </c>
      <c r="BV8" s="94">
        <f t="shared" si="14"/>
        <v>106.18200000000002</v>
      </c>
      <c r="BW8" s="94">
        <v>0</v>
      </c>
      <c r="BX8" s="94">
        <f t="shared" si="46"/>
        <v>106.18200000000002</v>
      </c>
      <c r="BY8" s="95">
        <f t="shared" si="15"/>
        <v>0</v>
      </c>
      <c r="BZ8" s="95">
        <f t="shared" si="16"/>
        <v>0</v>
      </c>
      <c r="CA8" s="95">
        <f t="shared" si="47"/>
        <v>0</v>
      </c>
      <c r="CB8" s="95">
        <f t="shared" si="17"/>
        <v>0</v>
      </c>
      <c r="CC8" s="95">
        <f t="shared" si="18"/>
        <v>0</v>
      </c>
      <c r="CD8" s="95">
        <f t="shared" si="48"/>
        <v>0</v>
      </c>
      <c r="CE8" s="89">
        <v>0</v>
      </c>
      <c r="CF8" s="89"/>
      <c r="CG8" s="89"/>
      <c r="CH8" s="89">
        <f t="shared" si="49"/>
        <v>444743.30699999997</v>
      </c>
      <c r="CI8" s="89">
        <v>4</v>
      </c>
      <c r="CJ8" s="89" t="s">
        <v>30</v>
      </c>
      <c r="CK8" s="98">
        <f t="shared" si="19"/>
        <v>18.485499999999998</v>
      </c>
      <c r="CL8" s="98">
        <f t="shared" si="19"/>
        <v>0</v>
      </c>
      <c r="CM8" s="98">
        <f t="shared" si="19"/>
        <v>0</v>
      </c>
      <c r="CN8" s="98">
        <f t="shared" si="50"/>
        <v>0.315</v>
      </c>
      <c r="CO8" s="98">
        <f t="shared" si="50"/>
        <v>0</v>
      </c>
      <c r="CP8" s="94">
        <f t="shared" si="51"/>
        <v>0.315</v>
      </c>
      <c r="CQ8" s="98">
        <f t="shared" si="20"/>
        <v>0</v>
      </c>
      <c r="CR8" s="98">
        <f t="shared" si="21"/>
        <v>0</v>
      </c>
      <c r="CS8" s="95">
        <f t="shared" si="52"/>
        <v>0</v>
      </c>
      <c r="CT8" s="98">
        <f t="shared" si="53"/>
        <v>0</v>
      </c>
      <c r="CU8" s="98">
        <f t="shared" si="54"/>
        <v>0</v>
      </c>
      <c r="CV8" s="95">
        <f t="shared" si="55"/>
        <v>0</v>
      </c>
      <c r="CW8" s="89">
        <f t="shared" si="56"/>
        <v>9.4106375</v>
      </c>
      <c r="CX8" s="89"/>
      <c r="CY8" s="89"/>
      <c r="CZ8" s="89">
        <f t="shared" si="57"/>
        <v>28.2111375</v>
      </c>
      <c r="DA8" s="89">
        <f t="shared" si="58"/>
        <v>18.8005</v>
      </c>
    </row>
    <row r="9" spans="1:105" s="96" customFormat="1" ht="26.25" x14ac:dyDescent="0.7">
      <c r="A9" s="89">
        <v>5</v>
      </c>
      <c r="B9" s="89" t="s">
        <v>67</v>
      </c>
      <c r="C9" s="90">
        <v>215</v>
      </c>
      <c r="D9" s="90">
        <f t="shared" si="22"/>
        <v>150500</v>
      </c>
      <c r="E9" s="90">
        <f>$C9*250*0.01</f>
        <v>537.5</v>
      </c>
      <c r="F9" s="90">
        <f>$C9*50*0.01</f>
        <v>107.5</v>
      </c>
      <c r="G9" s="90">
        <f>$C9*20*0.01</f>
        <v>43</v>
      </c>
      <c r="H9" s="91">
        <v>286256</v>
      </c>
      <c r="I9" s="100">
        <v>383</v>
      </c>
      <c r="J9" s="93">
        <v>1292.4269999999999</v>
      </c>
      <c r="K9" s="100">
        <v>16508</v>
      </c>
      <c r="L9" s="101">
        <v>0</v>
      </c>
      <c r="M9" s="94">
        <f t="shared" si="0"/>
        <v>16508</v>
      </c>
      <c r="N9" s="101">
        <v>8000</v>
      </c>
      <c r="O9" s="95">
        <f t="shared" si="59"/>
        <v>48000</v>
      </c>
      <c r="P9" s="101"/>
      <c r="Q9" s="95">
        <f t="shared" si="23"/>
        <v>0</v>
      </c>
      <c r="R9" s="95">
        <f t="shared" si="24"/>
        <v>8000</v>
      </c>
      <c r="S9" s="95">
        <f t="shared" si="25"/>
        <v>48000</v>
      </c>
      <c r="T9" s="101">
        <v>30</v>
      </c>
      <c r="U9" s="95">
        <f t="shared" si="26"/>
        <v>300</v>
      </c>
      <c r="V9" s="101">
        <v>0</v>
      </c>
      <c r="W9" s="95">
        <f t="shared" si="27"/>
        <v>0</v>
      </c>
      <c r="X9" s="95">
        <f t="shared" si="28"/>
        <v>30</v>
      </c>
      <c r="Y9" s="95">
        <f t="shared" si="28"/>
        <v>300</v>
      </c>
      <c r="Z9" s="95">
        <v>1788810</v>
      </c>
      <c r="AA9" s="89">
        <v>0</v>
      </c>
      <c r="AB9" s="89">
        <v>0</v>
      </c>
      <c r="AC9" s="89">
        <f t="shared" si="1"/>
        <v>2141549.4270000001</v>
      </c>
      <c r="AE9" s="89">
        <v>5</v>
      </c>
      <c r="AF9" s="89" t="s">
        <v>67</v>
      </c>
      <c r="AG9" s="94">
        <f t="shared" si="2"/>
        <v>68477.5</v>
      </c>
      <c r="AH9" s="94">
        <f t="shared" si="3"/>
        <v>537.5</v>
      </c>
      <c r="AI9" s="94">
        <f t="shared" si="4"/>
        <v>154.80000000000001</v>
      </c>
      <c r="AJ9" s="94">
        <f t="shared" si="5"/>
        <v>146.20000000000002</v>
      </c>
      <c r="AK9" s="94">
        <f t="shared" si="29"/>
        <v>0</v>
      </c>
      <c r="AL9" s="94">
        <f t="shared" si="30"/>
        <v>146.20000000000002</v>
      </c>
      <c r="AM9" s="95">
        <f t="shared" si="31"/>
        <v>8568</v>
      </c>
      <c r="AN9" s="95">
        <f t="shared" si="6"/>
        <v>0</v>
      </c>
      <c r="AO9" s="95">
        <f t="shared" si="32"/>
        <v>8568</v>
      </c>
      <c r="AP9" s="95">
        <f t="shared" si="7"/>
        <v>17010</v>
      </c>
      <c r="AQ9" s="95">
        <f t="shared" si="8"/>
        <v>0</v>
      </c>
      <c r="AR9" s="95">
        <f t="shared" si="33"/>
        <v>17010</v>
      </c>
      <c r="AS9" s="89">
        <f t="shared" si="9"/>
        <v>3398739</v>
      </c>
      <c r="AT9" s="89">
        <v>0</v>
      </c>
      <c r="AU9" s="89">
        <v>0</v>
      </c>
      <c r="AV9" s="89">
        <f t="shared" si="34"/>
        <v>3493633</v>
      </c>
      <c r="AW9" s="89">
        <v>5</v>
      </c>
      <c r="AX9" s="89" t="s">
        <v>67</v>
      </c>
      <c r="AY9" s="94">
        <f t="shared" si="35"/>
        <v>6870.1440000000002</v>
      </c>
      <c r="AZ9" s="94">
        <f t="shared" si="35"/>
        <v>9.1920000000000002</v>
      </c>
      <c r="BA9" s="94">
        <f t="shared" si="35"/>
        <v>31.018248</v>
      </c>
      <c r="BB9" s="94">
        <f t="shared" si="35"/>
        <v>396.19200000000001</v>
      </c>
      <c r="BC9" s="94">
        <f t="shared" si="35"/>
        <v>0</v>
      </c>
      <c r="BD9" s="94">
        <f t="shared" si="36"/>
        <v>396.19200000000001</v>
      </c>
      <c r="BE9" s="95">
        <f t="shared" si="37"/>
        <v>192</v>
      </c>
      <c r="BF9" s="95">
        <f t="shared" si="38"/>
        <v>0</v>
      </c>
      <c r="BG9" s="95">
        <f t="shared" si="39"/>
        <v>192</v>
      </c>
      <c r="BH9" s="95">
        <f t="shared" si="40"/>
        <v>0.72</v>
      </c>
      <c r="BI9" s="95">
        <f t="shared" si="41"/>
        <v>0</v>
      </c>
      <c r="BJ9" s="95">
        <f t="shared" si="42"/>
        <v>0.72</v>
      </c>
      <c r="BK9" s="89">
        <f t="shared" si="43"/>
        <v>7155.24</v>
      </c>
      <c r="BL9" s="89">
        <f t="shared" si="43"/>
        <v>0</v>
      </c>
      <c r="BM9" s="89">
        <f t="shared" si="43"/>
        <v>0</v>
      </c>
      <c r="BN9" s="89">
        <f t="shared" si="44"/>
        <v>14654.506248000002</v>
      </c>
      <c r="BO9" s="96">
        <f t="shared" si="10"/>
        <v>18183.427</v>
      </c>
      <c r="BP9" s="97">
        <f t="shared" si="45"/>
        <v>0.83850000000000002</v>
      </c>
      <c r="BQ9" s="89">
        <v>5</v>
      </c>
      <c r="BR9" s="89" t="s">
        <v>67</v>
      </c>
      <c r="BS9" s="94">
        <f t="shared" si="11"/>
        <v>274286.25</v>
      </c>
      <c r="BT9" s="94">
        <f t="shared" si="12"/>
        <v>1015.875</v>
      </c>
      <c r="BU9" s="94">
        <f t="shared" si="13"/>
        <v>193.5</v>
      </c>
      <c r="BV9" s="94">
        <f t="shared" si="14"/>
        <v>65.790000000000006</v>
      </c>
      <c r="BW9" s="94">
        <v>0</v>
      </c>
      <c r="BX9" s="94">
        <f t="shared" si="46"/>
        <v>65.790000000000006</v>
      </c>
      <c r="BY9" s="95">
        <f t="shared" si="15"/>
        <v>18700</v>
      </c>
      <c r="BZ9" s="95">
        <f t="shared" si="16"/>
        <v>0</v>
      </c>
      <c r="CA9" s="95">
        <f t="shared" si="47"/>
        <v>18700</v>
      </c>
      <c r="CB9" s="95">
        <f t="shared" si="17"/>
        <v>720</v>
      </c>
      <c r="CC9" s="95">
        <f t="shared" si="18"/>
        <v>0</v>
      </c>
      <c r="CD9" s="95">
        <f t="shared" si="48"/>
        <v>720</v>
      </c>
      <c r="CE9" s="89">
        <v>0</v>
      </c>
      <c r="CF9" s="89"/>
      <c r="CG9" s="89"/>
      <c r="CH9" s="89">
        <f t="shared" si="49"/>
        <v>294981.41499999998</v>
      </c>
      <c r="CI9" s="89">
        <v>5</v>
      </c>
      <c r="CJ9" s="89" t="s">
        <v>67</v>
      </c>
      <c r="CK9" s="98">
        <f t="shared" si="19"/>
        <v>143.12799999999999</v>
      </c>
      <c r="CL9" s="98">
        <f t="shared" si="19"/>
        <v>0.1915</v>
      </c>
      <c r="CM9" s="98">
        <f t="shared" si="19"/>
        <v>0.6462135</v>
      </c>
      <c r="CN9" s="98">
        <f t="shared" si="50"/>
        <v>16.507999999999999</v>
      </c>
      <c r="CO9" s="98">
        <f t="shared" si="50"/>
        <v>0</v>
      </c>
      <c r="CP9" s="94">
        <f t="shared" si="51"/>
        <v>16.507999999999999</v>
      </c>
      <c r="CQ9" s="98">
        <f t="shared" si="20"/>
        <v>4</v>
      </c>
      <c r="CR9" s="98">
        <f t="shared" si="21"/>
        <v>0</v>
      </c>
      <c r="CS9" s="95">
        <f t="shared" si="52"/>
        <v>4</v>
      </c>
      <c r="CT9" s="98">
        <f t="shared" si="53"/>
        <v>3</v>
      </c>
      <c r="CU9" s="98">
        <f t="shared" si="54"/>
        <v>0</v>
      </c>
      <c r="CV9" s="95">
        <f t="shared" si="55"/>
        <v>3</v>
      </c>
      <c r="CW9" s="89">
        <f t="shared" si="56"/>
        <v>22.360125</v>
      </c>
      <c r="CX9" s="89"/>
      <c r="CY9" s="89"/>
      <c r="CZ9" s="89">
        <f t="shared" si="57"/>
        <v>189.83383849999998</v>
      </c>
      <c r="DA9" s="89">
        <f t="shared" si="58"/>
        <v>167.47371349999997</v>
      </c>
    </row>
    <row r="10" spans="1:105" s="96" customFormat="1" ht="26.25" x14ac:dyDescent="0.7">
      <c r="A10" s="89">
        <v>6</v>
      </c>
      <c r="B10" s="89" t="s">
        <v>32</v>
      </c>
      <c r="C10" s="90">
        <v>266</v>
      </c>
      <c r="D10" s="90">
        <f t="shared" si="22"/>
        <v>186200</v>
      </c>
      <c r="E10" s="90">
        <f>$C10*250*0.01</f>
        <v>665</v>
      </c>
      <c r="F10" s="90">
        <f>$C10*50*0.01</f>
        <v>133</v>
      </c>
      <c r="G10" s="90">
        <f>$C10*20*0.01</f>
        <v>53.2</v>
      </c>
      <c r="H10" s="91">
        <v>61744</v>
      </c>
      <c r="I10" s="99">
        <v>7591</v>
      </c>
      <c r="J10" s="93">
        <v>1769.691</v>
      </c>
      <c r="K10" s="99">
        <v>432</v>
      </c>
      <c r="L10" s="95">
        <v>0</v>
      </c>
      <c r="M10" s="94">
        <f t="shared" si="0"/>
        <v>432</v>
      </c>
      <c r="N10" s="95">
        <v>40000</v>
      </c>
      <c r="O10" s="95">
        <f t="shared" si="59"/>
        <v>240000</v>
      </c>
      <c r="P10" s="95"/>
      <c r="Q10" s="95">
        <f t="shared" si="23"/>
        <v>0</v>
      </c>
      <c r="R10" s="95">
        <f t="shared" si="24"/>
        <v>40000</v>
      </c>
      <c r="S10" s="95">
        <f t="shared" si="25"/>
        <v>240000</v>
      </c>
      <c r="T10" s="95">
        <v>0</v>
      </c>
      <c r="U10" s="95">
        <f t="shared" si="26"/>
        <v>0</v>
      </c>
      <c r="V10" s="95">
        <v>0</v>
      </c>
      <c r="W10" s="95">
        <f t="shared" si="27"/>
        <v>0</v>
      </c>
      <c r="X10" s="95">
        <f t="shared" si="28"/>
        <v>0</v>
      </c>
      <c r="Y10" s="95">
        <f t="shared" si="28"/>
        <v>0</v>
      </c>
      <c r="Z10" s="95">
        <v>1016665</v>
      </c>
      <c r="AA10" s="89">
        <v>0</v>
      </c>
      <c r="AB10" s="89">
        <v>0</v>
      </c>
      <c r="AC10" s="89">
        <f t="shared" si="1"/>
        <v>1328201.6910000001</v>
      </c>
      <c r="AE10" s="89">
        <v>6</v>
      </c>
      <c r="AF10" s="89" t="s">
        <v>32</v>
      </c>
      <c r="AG10" s="94">
        <f t="shared" si="2"/>
        <v>84721</v>
      </c>
      <c r="AH10" s="94">
        <f t="shared" si="3"/>
        <v>665</v>
      </c>
      <c r="AI10" s="94">
        <f t="shared" si="4"/>
        <v>191.52</v>
      </c>
      <c r="AJ10" s="94">
        <f t="shared" si="5"/>
        <v>180.88000000000002</v>
      </c>
      <c r="AK10" s="94">
        <f t="shared" si="29"/>
        <v>0</v>
      </c>
      <c r="AL10" s="94">
        <f t="shared" si="30"/>
        <v>180.88000000000002</v>
      </c>
      <c r="AM10" s="95">
        <f t="shared" si="31"/>
        <v>42840</v>
      </c>
      <c r="AN10" s="95">
        <f t="shared" si="6"/>
        <v>0</v>
      </c>
      <c r="AO10" s="95">
        <f t="shared" si="32"/>
        <v>42840</v>
      </c>
      <c r="AP10" s="95">
        <f t="shared" si="7"/>
        <v>0</v>
      </c>
      <c r="AQ10" s="95">
        <f t="shared" si="8"/>
        <v>0</v>
      </c>
      <c r="AR10" s="95">
        <f t="shared" si="33"/>
        <v>0</v>
      </c>
      <c r="AS10" s="89">
        <f t="shared" si="9"/>
        <v>1931663.5</v>
      </c>
      <c r="AT10" s="89">
        <v>0</v>
      </c>
      <c r="AU10" s="89">
        <v>0</v>
      </c>
      <c r="AV10" s="89">
        <f t="shared" si="34"/>
        <v>2060261.9</v>
      </c>
      <c r="AW10" s="89">
        <v>6</v>
      </c>
      <c r="AX10" s="89" t="s">
        <v>32</v>
      </c>
      <c r="AY10" s="94">
        <f t="shared" si="35"/>
        <v>1481.856</v>
      </c>
      <c r="AZ10" s="94">
        <f t="shared" si="35"/>
        <v>182.184</v>
      </c>
      <c r="BA10" s="94">
        <f t="shared" si="35"/>
        <v>42.472584000000005</v>
      </c>
      <c r="BB10" s="94">
        <f t="shared" si="35"/>
        <v>10.368</v>
      </c>
      <c r="BC10" s="94">
        <f t="shared" si="35"/>
        <v>0</v>
      </c>
      <c r="BD10" s="94">
        <f t="shared" si="36"/>
        <v>10.368</v>
      </c>
      <c r="BE10" s="95">
        <f t="shared" si="37"/>
        <v>960</v>
      </c>
      <c r="BF10" s="95">
        <f t="shared" si="38"/>
        <v>0</v>
      </c>
      <c r="BG10" s="95">
        <f t="shared" si="39"/>
        <v>960</v>
      </c>
      <c r="BH10" s="95">
        <f t="shared" si="40"/>
        <v>0</v>
      </c>
      <c r="BI10" s="95">
        <f t="shared" si="41"/>
        <v>0</v>
      </c>
      <c r="BJ10" s="95">
        <f t="shared" si="42"/>
        <v>0</v>
      </c>
      <c r="BK10" s="89">
        <f t="shared" si="43"/>
        <v>4066.6600000000003</v>
      </c>
      <c r="BL10" s="89">
        <f t="shared" si="43"/>
        <v>0</v>
      </c>
      <c r="BM10" s="89">
        <f t="shared" si="43"/>
        <v>0</v>
      </c>
      <c r="BN10" s="89">
        <f t="shared" si="44"/>
        <v>6743.5405840000003</v>
      </c>
      <c r="BO10" s="96">
        <f t="shared" si="10"/>
        <v>9792.6910000000007</v>
      </c>
      <c r="BP10" s="97">
        <f t="shared" si="45"/>
        <v>1.0374000000000001</v>
      </c>
      <c r="BQ10" s="89">
        <v>6</v>
      </c>
      <c r="BR10" s="89" t="s">
        <v>32</v>
      </c>
      <c r="BS10" s="94">
        <f t="shared" si="11"/>
        <v>339349.5</v>
      </c>
      <c r="BT10" s="94">
        <f t="shared" si="12"/>
        <v>1256.8500000000001</v>
      </c>
      <c r="BU10" s="94">
        <f t="shared" si="13"/>
        <v>239.4</v>
      </c>
      <c r="BV10" s="94">
        <f t="shared" si="14"/>
        <v>81.396000000000015</v>
      </c>
      <c r="BW10" s="94">
        <v>0</v>
      </c>
      <c r="BX10" s="94">
        <f t="shared" si="46"/>
        <v>81.396000000000015</v>
      </c>
      <c r="BY10" s="95">
        <f t="shared" si="15"/>
        <v>93500</v>
      </c>
      <c r="BZ10" s="95">
        <f t="shared" si="16"/>
        <v>0</v>
      </c>
      <c r="CA10" s="95">
        <f t="shared" si="47"/>
        <v>93500</v>
      </c>
      <c r="CB10" s="95">
        <f t="shared" si="17"/>
        <v>0</v>
      </c>
      <c r="CC10" s="95">
        <f t="shared" si="18"/>
        <v>0</v>
      </c>
      <c r="CD10" s="95">
        <f t="shared" si="48"/>
        <v>0</v>
      </c>
      <c r="CE10" s="89">
        <v>0</v>
      </c>
      <c r="CF10" s="89"/>
      <c r="CG10" s="89"/>
      <c r="CH10" s="89">
        <f t="shared" si="49"/>
        <v>434427.14600000001</v>
      </c>
      <c r="CI10" s="89">
        <v>6</v>
      </c>
      <c r="CJ10" s="89" t="s">
        <v>32</v>
      </c>
      <c r="CK10" s="98">
        <f t="shared" si="19"/>
        <v>30.872</v>
      </c>
      <c r="CL10" s="98">
        <f t="shared" si="19"/>
        <v>3.7955000000000001</v>
      </c>
      <c r="CM10" s="98">
        <f t="shared" si="19"/>
        <v>0.88484550000000006</v>
      </c>
      <c r="CN10" s="98">
        <f t="shared" si="50"/>
        <v>0.432</v>
      </c>
      <c r="CO10" s="98">
        <f t="shared" si="50"/>
        <v>0</v>
      </c>
      <c r="CP10" s="94">
        <f t="shared" si="51"/>
        <v>0.432</v>
      </c>
      <c r="CQ10" s="98">
        <f t="shared" si="20"/>
        <v>20</v>
      </c>
      <c r="CR10" s="98">
        <f t="shared" si="21"/>
        <v>0</v>
      </c>
      <c r="CS10" s="95">
        <f t="shared" si="52"/>
        <v>20</v>
      </c>
      <c r="CT10" s="98">
        <f t="shared" si="53"/>
        <v>0</v>
      </c>
      <c r="CU10" s="98">
        <f t="shared" si="54"/>
        <v>0</v>
      </c>
      <c r="CV10" s="95">
        <f t="shared" si="55"/>
        <v>0</v>
      </c>
      <c r="CW10" s="89">
        <f t="shared" si="56"/>
        <v>12.7083125</v>
      </c>
      <c r="CX10" s="89"/>
      <c r="CY10" s="89"/>
      <c r="CZ10" s="89">
        <f t="shared" si="57"/>
        <v>68.692657999999994</v>
      </c>
      <c r="DA10" s="89">
        <f t="shared" si="58"/>
        <v>55.984345499999996</v>
      </c>
    </row>
    <row r="11" spans="1:105" s="96" customFormat="1" ht="26.25" x14ac:dyDescent="0.7">
      <c r="A11" s="89">
        <v>7</v>
      </c>
      <c r="B11" s="89" t="s">
        <v>33</v>
      </c>
      <c r="C11" s="90">
        <v>433</v>
      </c>
      <c r="D11" s="90">
        <f t="shared" si="22"/>
        <v>303100</v>
      </c>
      <c r="E11" s="90">
        <f>$C11*250*0.01</f>
        <v>1082.5</v>
      </c>
      <c r="F11" s="90">
        <f>$C11*50*0.01</f>
        <v>216.5</v>
      </c>
      <c r="G11" s="90">
        <f>$C11*20*0.05</f>
        <v>433</v>
      </c>
      <c r="H11" s="91">
        <v>321429</v>
      </c>
      <c r="I11" s="99">
        <v>13778</v>
      </c>
      <c r="J11" s="93">
        <v>0</v>
      </c>
      <c r="K11" s="99">
        <v>18255</v>
      </c>
      <c r="L11" s="95">
        <v>0</v>
      </c>
      <c r="M11" s="94">
        <f t="shared" si="0"/>
        <v>18255</v>
      </c>
      <c r="N11" s="95">
        <v>7000</v>
      </c>
      <c r="O11" s="95">
        <f t="shared" si="59"/>
        <v>42000</v>
      </c>
      <c r="P11" s="95">
        <v>900</v>
      </c>
      <c r="Q11" s="95">
        <f t="shared" si="23"/>
        <v>9900</v>
      </c>
      <c r="R11" s="95">
        <f t="shared" si="24"/>
        <v>7900</v>
      </c>
      <c r="S11" s="95">
        <f t="shared" si="25"/>
        <v>51900</v>
      </c>
      <c r="T11" s="95">
        <v>0</v>
      </c>
      <c r="U11" s="95">
        <f t="shared" si="26"/>
        <v>0</v>
      </c>
      <c r="V11" s="95">
        <v>0</v>
      </c>
      <c r="W11" s="95">
        <f t="shared" si="27"/>
        <v>0</v>
      </c>
      <c r="X11" s="95">
        <f t="shared" si="28"/>
        <v>0</v>
      </c>
      <c r="Y11" s="95">
        <f t="shared" si="28"/>
        <v>0</v>
      </c>
      <c r="Z11" s="95">
        <v>1521525</v>
      </c>
      <c r="AA11" s="89">
        <v>0</v>
      </c>
      <c r="AB11" s="89">
        <v>0</v>
      </c>
      <c r="AC11" s="89">
        <f t="shared" si="1"/>
        <v>1926887</v>
      </c>
      <c r="AE11" s="89">
        <v>7</v>
      </c>
      <c r="AF11" s="89" t="s">
        <v>33</v>
      </c>
      <c r="AG11" s="94">
        <f t="shared" si="2"/>
        <v>137910.5</v>
      </c>
      <c r="AH11" s="94">
        <f t="shared" si="3"/>
        <v>1082.5</v>
      </c>
      <c r="AI11" s="94">
        <f t="shared" si="4"/>
        <v>311.76000000000005</v>
      </c>
      <c r="AJ11" s="94">
        <f t="shared" si="5"/>
        <v>1472.2</v>
      </c>
      <c r="AK11" s="94">
        <f t="shared" si="29"/>
        <v>0</v>
      </c>
      <c r="AL11" s="94">
        <f t="shared" si="30"/>
        <v>1472.2</v>
      </c>
      <c r="AM11" s="95">
        <f t="shared" si="31"/>
        <v>7497</v>
      </c>
      <c r="AN11" s="95">
        <f t="shared" si="6"/>
        <v>1652.3999999999999</v>
      </c>
      <c r="AO11" s="95">
        <f t="shared" si="32"/>
        <v>9149.4</v>
      </c>
      <c r="AP11" s="95">
        <f t="shared" si="7"/>
        <v>0</v>
      </c>
      <c r="AQ11" s="95">
        <f t="shared" si="8"/>
        <v>0</v>
      </c>
      <c r="AR11" s="95">
        <f t="shared" si="33"/>
        <v>0</v>
      </c>
      <c r="AS11" s="89">
        <f t="shared" si="9"/>
        <v>2890897.5</v>
      </c>
      <c r="AT11" s="89">
        <v>0</v>
      </c>
      <c r="AU11" s="89">
        <v>0</v>
      </c>
      <c r="AV11" s="89">
        <f t="shared" si="34"/>
        <v>3040823.86</v>
      </c>
      <c r="AW11" s="89">
        <v>7</v>
      </c>
      <c r="AX11" s="89" t="s">
        <v>33</v>
      </c>
      <c r="AY11" s="94">
        <f t="shared" si="35"/>
        <v>7714.2960000000003</v>
      </c>
      <c r="AZ11" s="94">
        <f t="shared" si="35"/>
        <v>330.67200000000003</v>
      </c>
      <c r="BA11" s="94">
        <f t="shared" si="35"/>
        <v>0</v>
      </c>
      <c r="BB11" s="94">
        <f t="shared" si="35"/>
        <v>438.12</v>
      </c>
      <c r="BC11" s="94">
        <f t="shared" si="35"/>
        <v>0</v>
      </c>
      <c r="BD11" s="94">
        <f t="shared" si="36"/>
        <v>438.12</v>
      </c>
      <c r="BE11" s="95">
        <f t="shared" si="37"/>
        <v>168</v>
      </c>
      <c r="BF11" s="95">
        <f t="shared" si="38"/>
        <v>39.657599999999995</v>
      </c>
      <c r="BG11" s="95">
        <f t="shared" si="39"/>
        <v>207.6576</v>
      </c>
      <c r="BH11" s="95">
        <f t="shared" si="40"/>
        <v>0</v>
      </c>
      <c r="BI11" s="95">
        <f t="shared" si="41"/>
        <v>0</v>
      </c>
      <c r="BJ11" s="95">
        <f t="shared" si="42"/>
        <v>0</v>
      </c>
      <c r="BK11" s="89">
        <f t="shared" si="43"/>
        <v>6086.1</v>
      </c>
      <c r="BL11" s="89">
        <f t="shared" si="43"/>
        <v>0</v>
      </c>
      <c r="BM11" s="89">
        <f t="shared" si="43"/>
        <v>0</v>
      </c>
      <c r="BN11" s="89">
        <f t="shared" si="44"/>
        <v>14776.845600000002</v>
      </c>
      <c r="BO11" s="96">
        <f t="shared" si="10"/>
        <v>32033</v>
      </c>
      <c r="BP11" s="97">
        <f t="shared" si="45"/>
        <v>2.86646</v>
      </c>
      <c r="BQ11" s="89">
        <v>7</v>
      </c>
      <c r="BR11" s="89" t="s">
        <v>33</v>
      </c>
      <c r="BS11" s="94">
        <f t="shared" si="11"/>
        <v>552399.75</v>
      </c>
      <c r="BT11" s="94">
        <f t="shared" si="12"/>
        <v>2045.925</v>
      </c>
      <c r="BU11" s="94">
        <f t="shared" si="13"/>
        <v>389.70000000000005</v>
      </c>
      <c r="BV11" s="94">
        <f t="shared" si="14"/>
        <v>662.49</v>
      </c>
      <c r="BW11" s="94">
        <v>0</v>
      </c>
      <c r="BX11" s="94">
        <f t="shared" si="46"/>
        <v>662.49</v>
      </c>
      <c r="BY11" s="95">
        <f t="shared" si="15"/>
        <v>16362.5</v>
      </c>
      <c r="BZ11" s="95">
        <f t="shared" si="16"/>
        <v>2103.75</v>
      </c>
      <c r="CA11" s="95">
        <f t="shared" si="47"/>
        <v>18466.25</v>
      </c>
      <c r="CB11" s="95">
        <f t="shared" si="17"/>
        <v>0</v>
      </c>
      <c r="CC11" s="95">
        <f t="shared" si="18"/>
        <v>0</v>
      </c>
      <c r="CD11" s="95">
        <f t="shared" si="48"/>
        <v>0</v>
      </c>
      <c r="CE11" s="89">
        <v>0</v>
      </c>
      <c r="CF11" s="89"/>
      <c r="CG11" s="89"/>
      <c r="CH11" s="89">
        <f t="shared" si="49"/>
        <v>573964.11499999999</v>
      </c>
      <c r="CI11" s="89">
        <v>7</v>
      </c>
      <c r="CJ11" s="89" t="s">
        <v>33</v>
      </c>
      <c r="CK11" s="98">
        <f t="shared" si="19"/>
        <v>160.71449999999999</v>
      </c>
      <c r="CL11" s="98">
        <f t="shared" si="19"/>
        <v>6.8890000000000002</v>
      </c>
      <c r="CM11" s="98">
        <f t="shared" si="19"/>
        <v>0</v>
      </c>
      <c r="CN11" s="98">
        <f t="shared" si="50"/>
        <v>18.254999999999999</v>
      </c>
      <c r="CO11" s="98">
        <f t="shared" si="50"/>
        <v>0</v>
      </c>
      <c r="CP11" s="94">
        <f t="shared" si="51"/>
        <v>18.254999999999999</v>
      </c>
      <c r="CQ11" s="98">
        <f t="shared" si="20"/>
        <v>3.5</v>
      </c>
      <c r="CR11" s="98">
        <f t="shared" si="21"/>
        <v>4.95</v>
      </c>
      <c r="CS11" s="95">
        <f t="shared" si="52"/>
        <v>8.4499999999999993</v>
      </c>
      <c r="CT11" s="98">
        <f t="shared" si="53"/>
        <v>0</v>
      </c>
      <c r="CU11" s="98">
        <f t="shared" si="54"/>
        <v>0</v>
      </c>
      <c r="CV11" s="95">
        <f t="shared" si="55"/>
        <v>0</v>
      </c>
      <c r="CW11" s="89">
        <f t="shared" si="56"/>
        <v>19.0190625</v>
      </c>
      <c r="CX11" s="89"/>
      <c r="CY11" s="89"/>
      <c r="CZ11" s="89">
        <f t="shared" si="57"/>
        <v>213.32756249999997</v>
      </c>
      <c r="DA11" s="89">
        <f t="shared" si="58"/>
        <v>189.35849999999996</v>
      </c>
    </row>
    <row r="12" spans="1:105" s="96" customFormat="1" ht="26.25" x14ac:dyDescent="0.7">
      <c r="A12" s="89">
        <v>8</v>
      </c>
      <c r="B12" s="89" t="s">
        <v>68</v>
      </c>
      <c r="C12" s="90">
        <v>219</v>
      </c>
      <c r="D12" s="90">
        <f t="shared" si="22"/>
        <v>153300</v>
      </c>
      <c r="E12" s="90">
        <f>$C12*250*0.01</f>
        <v>547.5</v>
      </c>
      <c r="F12" s="90">
        <f>$C12*50*0.01</f>
        <v>109.5</v>
      </c>
      <c r="G12" s="90">
        <f>$C12*20*1</f>
        <v>4380</v>
      </c>
      <c r="H12" s="91">
        <v>139473</v>
      </c>
      <c r="I12" s="99">
        <v>1957</v>
      </c>
      <c r="J12" s="93">
        <v>1639.1279999999999</v>
      </c>
      <c r="K12" s="99">
        <v>15216</v>
      </c>
      <c r="L12" s="95">
        <v>0</v>
      </c>
      <c r="M12" s="94">
        <f t="shared" si="0"/>
        <v>15216</v>
      </c>
      <c r="N12" s="95">
        <v>1000</v>
      </c>
      <c r="O12" s="95">
        <f t="shared" si="59"/>
        <v>6000</v>
      </c>
      <c r="P12" s="95"/>
      <c r="Q12" s="95">
        <f t="shared" si="23"/>
        <v>0</v>
      </c>
      <c r="R12" s="95">
        <f t="shared" si="24"/>
        <v>1000</v>
      </c>
      <c r="S12" s="95">
        <f t="shared" si="25"/>
        <v>6000</v>
      </c>
      <c r="T12" s="95">
        <v>5</v>
      </c>
      <c r="U12" s="95">
        <f t="shared" si="26"/>
        <v>50</v>
      </c>
      <c r="V12" s="95">
        <v>0</v>
      </c>
      <c r="W12" s="95">
        <f t="shared" si="27"/>
        <v>0</v>
      </c>
      <c r="X12" s="95">
        <f t="shared" si="28"/>
        <v>5</v>
      </c>
      <c r="Y12" s="95">
        <f t="shared" si="28"/>
        <v>50</v>
      </c>
      <c r="Z12" s="95">
        <v>2660220</v>
      </c>
      <c r="AA12" s="89">
        <v>213325</v>
      </c>
      <c r="AB12" s="89">
        <v>60000</v>
      </c>
      <c r="AC12" s="89">
        <f t="shared" si="1"/>
        <v>3097880.128</v>
      </c>
      <c r="AE12" s="89">
        <v>8</v>
      </c>
      <c r="AF12" s="89" t="s">
        <v>68</v>
      </c>
      <c r="AG12" s="94">
        <f t="shared" si="2"/>
        <v>69751.5</v>
      </c>
      <c r="AH12" s="94">
        <f t="shared" si="3"/>
        <v>547.5</v>
      </c>
      <c r="AI12" s="94">
        <f t="shared" si="4"/>
        <v>157.68</v>
      </c>
      <c r="AJ12" s="94">
        <f t="shared" si="5"/>
        <v>14892.000000000002</v>
      </c>
      <c r="AK12" s="94">
        <f t="shared" si="29"/>
        <v>0</v>
      </c>
      <c r="AL12" s="94">
        <f t="shared" si="30"/>
        <v>14892.000000000002</v>
      </c>
      <c r="AM12" s="95">
        <f t="shared" si="31"/>
        <v>1071</v>
      </c>
      <c r="AN12" s="95">
        <f t="shared" si="6"/>
        <v>0</v>
      </c>
      <c r="AO12" s="95">
        <f t="shared" si="32"/>
        <v>1071</v>
      </c>
      <c r="AP12" s="95">
        <f t="shared" si="7"/>
        <v>2835</v>
      </c>
      <c r="AQ12" s="95">
        <f t="shared" si="8"/>
        <v>0</v>
      </c>
      <c r="AR12" s="95">
        <f t="shared" si="33"/>
        <v>2835</v>
      </c>
      <c r="AS12" s="89">
        <f t="shared" si="9"/>
        <v>5054418</v>
      </c>
      <c r="AT12" s="89">
        <v>244717</v>
      </c>
      <c r="AU12" s="89">
        <v>28000</v>
      </c>
      <c r="AV12" s="89">
        <f t="shared" si="34"/>
        <v>5416389.6799999997</v>
      </c>
      <c r="AW12" s="89">
        <v>8</v>
      </c>
      <c r="AX12" s="89" t="s">
        <v>68</v>
      </c>
      <c r="AY12" s="94">
        <f t="shared" si="35"/>
        <v>3347.3519999999999</v>
      </c>
      <c r="AZ12" s="94">
        <f t="shared" si="35"/>
        <v>46.968000000000004</v>
      </c>
      <c r="BA12" s="94">
        <f t="shared" si="35"/>
        <v>39.339072000000002</v>
      </c>
      <c r="BB12" s="94">
        <f t="shared" si="35"/>
        <v>365.18400000000003</v>
      </c>
      <c r="BC12" s="94">
        <f t="shared" si="35"/>
        <v>0</v>
      </c>
      <c r="BD12" s="94">
        <f t="shared" si="36"/>
        <v>365.18400000000003</v>
      </c>
      <c r="BE12" s="95">
        <f t="shared" si="37"/>
        <v>24</v>
      </c>
      <c r="BF12" s="95">
        <f t="shared" si="38"/>
        <v>0</v>
      </c>
      <c r="BG12" s="95">
        <f t="shared" si="39"/>
        <v>24</v>
      </c>
      <c r="BH12" s="95">
        <f t="shared" si="40"/>
        <v>0.12</v>
      </c>
      <c r="BI12" s="95">
        <f t="shared" si="41"/>
        <v>0</v>
      </c>
      <c r="BJ12" s="95">
        <f t="shared" si="42"/>
        <v>0.12</v>
      </c>
      <c r="BK12" s="89">
        <f t="shared" si="43"/>
        <v>10640.880000000001</v>
      </c>
      <c r="BL12" s="89">
        <f t="shared" si="43"/>
        <v>853.30000000000007</v>
      </c>
      <c r="BM12" s="89">
        <f t="shared" si="43"/>
        <v>240</v>
      </c>
      <c r="BN12" s="89">
        <f t="shared" si="44"/>
        <v>15557.143072000001</v>
      </c>
      <c r="BO12" s="96">
        <f t="shared" si="10"/>
        <v>18812.128000000001</v>
      </c>
      <c r="BP12" s="97">
        <f t="shared" si="45"/>
        <v>15.597180000000002</v>
      </c>
      <c r="BQ12" s="89">
        <v>8</v>
      </c>
      <c r="BR12" s="89" t="s">
        <v>68</v>
      </c>
      <c r="BS12" s="94">
        <f t="shared" si="11"/>
        <v>279389.25</v>
      </c>
      <c r="BT12" s="94">
        <f t="shared" si="12"/>
        <v>1034.7750000000001</v>
      </c>
      <c r="BU12" s="94">
        <f t="shared" si="13"/>
        <v>197.10000000000002</v>
      </c>
      <c r="BV12" s="94">
        <f t="shared" si="14"/>
        <v>6701.4000000000005</v>
      </c>
      <c r="BW12" s="94">
        <v>0</v>
      </c>
      <c r="BX12" s="94">
        <f t="shared" si="46"/>
        <v>6701.4000000000005</v>
      </c>
      <c r="BY12" s="95">
        <f t="shared" si="15"/>
        <v>2337.5</v>
      </c>
      <c r="BZ12" s="95">
        <f t="shared" si="16"/>
        <v>0</v>
      </c>
      <c r="CA12" s="95">
        <f t="shared" si="47"/>
        <v>2337.5</v>
      </c>
      <c r="CB12" s="95">
        <f t="shared" si="17"/>
        <v>120</v>
      </c>
      <c r="CC12" s="95">
        <f t="shared" si="18"/>
        <v>0</v>
      </c>
      <c r="CD12" s="95">
        <f t="shared" si="48"/>
        <v>120</v>
      </c>
      <c r="CE12" s="89">
        <v>0</v>
      </c>
      <c r="CF12" s="89">
        <v>68214</v>
      </c>
      <c r="CG12" s="89">
        <v>278000</v>
      </c>
      <c r="CH12" s="89">
        <f t="shared" si="49"/>
        <v>635994.02500000002</v>
      </c>
      <c r="CI12" s="89">
        <v>8</v>
      </c>
      <c r="CJ12" s="89" t="s">
        <v>68</v>
      </c>
      <c r="CK12" s="98">
        <f t="shared" si="19"/>
        <v>69.736500000000007</v>
      </c>
      <c r="CL12" s="98">
        <f t="shared" si="19"/>
        <v>0.97850000000000004</v>
      </c>
      <c r="CM12" s="98">
        <f t="shared" si="19"/>
        <v>0.81956399999999996</v>
      </c>
      <c r="CN12" s="98">
        <f t="shared" si="50"/>
        <v>15.215999999999999</v>
      </c>
      <c r="CO12" s="98">
        <f t="shared" si="50"/>
        <v>0</v>
      </c>
      <c r="CP12" s="94">
        <f t="shared" si="51"/>
        <v>15.215999999999999</v>
      </c>
      <c r="CQ12" s="98">
        <f t="shared" si="20"/>
        <v>0.5</v>
      </c>
      <c r="CR12" s="98">
        <f t="shared" si="21"/>
        <v>0</v>
      </c>
      <c r="CS12" s="95">
        <f t="shared" si="52"/>
        <v>0.5</v>
      </c>
      <c r="CT12" s="98">
        <f t="shared" si="53"/>
        <v>0.5</v>
      </c>
      <c r="CU12" s="98">
        <f t="shared" si="54"/>
        <v>0</v>
      </c>
      <c r="CV12" s="95">
        <f t="shared" si="55"/>
        <v>0.5</v>
      </c>
      <c r="CW12" s="89">
        <f t="shared" si="56"/>
        <v>33.252749999999999</v>
      </c>
      <c r="CX12" s="89"/>
      <c r="CY12" s="89"/>
      <c r="CZ12" s="89">
        <f t="shared" si="57"/>
        <v>121.00331399999999</v>
      </c>
      <c r="DA12" s="89">
        <f t="shared" si="58"/>
        <v>87.750563999999997</v>
      </c>
    </row>
    <row r="13" spans="1:105" s="96" customFormat="1" ht="26.25" x14ac:dyDescent="0.7">
      <c r="A13" s="89">
        <v>9</v>
      </c>
      <c r="B13" s="89" t="s">
        <v>69</v>
      </c>
      <c r="C13" s="90">
        <v>99</v>
      </c>
      <c r="D13" s="90">
        <f t="shared" si="22"/>
        <v>69300</v>
      </c>
      <c r="E13" s="90">
        <f>$C13*250*0.05</f>
        <v>1237.5</v>
      </c>
      <c r="F13" s="90">
        <f>$C13*50*0.05</f>
        <v>247.5</v>
      </c>
      <c r="G13" s="90">
        <f>$C13*20*0.01</f>
        <v>19.8</v>
      </c>
      <c r="H13" s="91">
        <v>47316</v>
      </c>
      <c r="I13" s="99">
        <v>685</v>
      </c>
      <c r="J13" s="93">
        <v>354.52499999999998</v>
      </c>
      <c r="K13" s="99">
        <v>518</v>
      </c>
      <c r="L13" s="95">
        <v>0</v>
      </c>
      <c r="M13" s="94">
        <f t="shared" si="0"/>
        <v>518</v>
      </c>
      <c r="N13" s="95">
        <v>0</v>
      </c>
      <c r="O13" s="95">
        <v>30000</v>
      </c>
      <c r="P13" s="95"/>
      <c r="Q13" s="95">
        <f t="shared" si="23"/>
        <v>0</v>
      </c>
      <c r="R13" s="95">
        <f t="shared" si="24"/>
        <v>0</v>
      </c>
      <c r="S13" s="95">
        <f t="shared" si="25"/>
        <v>30000</v>
      </c>
      <c r="T13" s="95">
        <v>0</v>
      </c>
      <c r="U13" s="95">
        <v>10</v>
      </c>
      <c r="V13" s="95">
        <v>0</v>
      </c>
      <c r="W13" s="95">
        <f t="shared" si="27"/>
        <v>0</v>
      </c>
      <c r="X13" s="95">
        <f t="shared" si="28"/>
        <v>0</v>
      </c>
      <c r="Y13" s="95">
        <f t="shared" si="28"/>
        <v>10</v>
      </c>
      <c r="Z13" s="95">
        <v>635830</v>
      </c>
      <c r="AA13" s="89">
        <v>0</v>
      </c>
      <c r="AB13" s="89">
        <v>0</v>
      </c>
      <c r="AC13" s="89">
        <f t="shared" si="1"/>
        <v>714713.52500000002</v>
      </c>
      <c r="AE13" s="89">
        <v>9</v>
      </c>
      <c r="AF13" s="89" t="s">
        <v>69</v>
      </c>
      <c r="AG13" s="94">
        <f t="shared" si="2"/>
        <v>31531.5</v>
      </c>
      <c r="AH13" s="94">
        <f t="shared" si="3"/>
        <v>1237.5</v>
      </c>
      <c r="AI13" s="94">
        <f t="shared" si="4"/>
        <v>356.40000000000003</v>
      </c>
      <c r="AJ13" s="94">
        <f t="shared" si="5"/>
        <v>67.320000000000007</v>
      </c>
      <c r="AK13" s="94">
        <f t="shared" si="29"/>
        <v>0</v>
      </c>
      <c r="AL13" s="94">
        <f t="shared" si="30"/>
        <v>67.320000000000007</v>
      </c>
      <c r="AM13" s="95">
        <f t="shared" si="31"/>
        <v>4590</v>
      </c>
      <c r="AN13" s="95">
        <f t="shared" si="6"/>
        <v>0</v>
      </c>
      <c r="AO13" s="95">
        <f t="shared" si="32"/>
        <v>4590</v>
      </c>
      <c r="AP13" s="95">
        <f t="shared" si="7"/>
        <v>560</v>
      </c>
      <c r="AQ13" s="95">
        <f t="shared" si="8"/>
        <v>0</v>
      </c>
      <c r="AR13" s="95">
        <f t="shared" si="33"/>
        <v>560</v>
      </c>
      <c r="AS13" s="89">
        <f t="shared" si="9"/>
        <v>1208077</v>
      </c>
      <c r="AT13" s="89">
        <v>0</v>
      </c>
      <c r="AU13" s="89">
        <v>0</v>
      </c>
      <c r="AV13" s="89">
        <f t="shared" si="34"/>
        <v>1246419.72</v>
      </c>
      <c r="AW13" s="89">
        <v>9</v>
      </c>
      <c r="AX13" s="89" t="s">
        <v>69</v>
      </c>
      <c r="AY13" s="94">
        <f t="shared" si="35"/>
        <v>1135.5840000000001</v>
      </c>
      <c r="AZ13" s="94">
        <f t="shared" si="35"/>
        <v>16.440000000000001</v>
      </c>
      <c r="BA13" s="94">
        <f t="shared" si="35"/>
        <v>8.5085999999999995</v>
      </c>
      <c r="BB13" s="94">
        <f t="shared" si="35"/>
        <v>12.432</v>
      </c>
      <c r="BC13" s="94">
        <f t="shared" si="35"/>
        <v>0</v>
      </c>
      <c r="BD13" s="94">
        <f t="shared" si="36"/>
        <v>12.432</v>
      </c>
      <c r="BE13" s="95">
        <f t="shared" si="37"/>
        <v>0</v>
      </c>
      <c r="BF13" s="95">
        <f t="shared" si="38"/>
        <v>0</v>
      </c>
      <c r="BG13" s="95">
        <f t="shared" si="39"/>
        <v>0</v>
      </c>
      <c r="BH13" s="95">
        <f t="shared" si="40"/>
        <v>0</v>
      </c>
      <c r="BI13" s="95">
        <f t="shared" si="41"/>
        <v>0</v>
      </c>
      <c r="BJ13" s="95">
        <f t="shared" si="42"/>
        <v>0</v>
      </c>
      <c r="BK13" s="89">
        <f t="shared" si="43"/>
        <v>2543.3200000000002</v>
      </c>
      <c r="BL13" s="89">
        <f t="shared" si="43"/>
        <v>0</v>
      </c>
      <c r="BM13" s="89">
        <f t="shared" si="43"/>
        <v>0</v>
      </c>
      <c r="BN13" s="89">
        <f t="shared" si="44"/>
        <v>3716.2846</v>
      </c>
      <c r="BO13" s="96">
        <f t="shared" si="10"/>
        <v>1557.5250000000001</v>
      </c>
      <c r="BP13" s="97">
        <f t="shared" si="45"/>
        <v>1.6612199999999999</v>
      </c>
      <c r="BQ13" s="89">
        <v>9</v>
      </c>
      <c r="BR13" s="89" t="s">
        <v>69</v>
      </c>
      <c r="BS13" s="94">
        <f t="shared" si="11"/>
        <v>126299.25</v>
      </c>
      <c r="BT13" s="94">
        <f t="shared" si="12"/>
        <v>2338.875</v>
      </c>
      <c r="BU13" s="94">
        <f t="shared" si="13"/>
        <v>445.5</v>
      </c>
      <c r="BV13" s="94">
        <f t="shared" si="14"/>
        <v>30.294000000000004</v>
      </c>
      <c r="BW13" s="94">
        <v>0</v>
      </c>
      <c r="BX13" s="94">
        <f t="shared" si="46"/>
        <v>30.294000000000004</v>
      </c>
      <c r="BY13" s="95">
        <f t="shared" si="15"/>
        <v>0</v>
      </c>
      <c r="BZ13" s="95">
        <f t="shared" si="16"/>
        <v>0</v>
      </c>
      <c r="CA13" s="95">
        <f t="shared" si="47"/>
        <v>0</v>
      </c>
      <c r="CB13" s="95">
        <f t="shared" si="17"/>
        <v>0</v>
      </c>
      <c r="CC13" s="95">
        <f t="shared" si="18"/>
        <v>0</v>
      </c>
      <c r="CD13" s="95">
        <f t="shared" si="48"/>
        <v>0</v>
      </c>
      <c r="CE13" s="89">
        <v>0</v>
      </c>
      <c r="CF13" s="89">
        <v>16823</v>
      </c>
      <c r="CG13" s="89"/>
      <c r="CH13" s="89">
        <f t="shared" si="49"/>
        <v>145936.91899999999</v>
      </c>
      <c r="CI13" s="89">
        <v>9</v>
      </c>
      <c r="CJ13" s="89" t="s">
        <v>69</v>
      </c>
      <c r="CK13" s="98">
        <f t="shared" si="19"/>
        <v>23.658000000000001</v>
      </c>
      <c r="CL13" s="98">
        <f t="shared" si="19"/>
        <v>0.34250000000000003</v>
      </c>
      <c r="CM13" s="98">
        <f t="shared" si="19"/>
        <v>0.17726249999999999</v>
      </c>
      <c r="CN13" s="98">
        <f t="shared" si="50"/>
        <v>0.51800000000000002</v>
      </c>
      <c r="CO13" s="98">
        <f t="shared" si="50"/>
        <v>0</v>
      </c>
      <c r="CP13" s="94">
        <f t="shared" si="51"/>
        <v>0.51800000000000002</v>
      </c>
      <c r="CQ13" s="98">
        <f t="shared" si="20"/>
        <v>0</v>
      </c>
      <c r="CR13" s="98">
        <f t="shared" si="21"/>
        <v>0</v>
      </c>
      <c r="CS13" s="95">
        <f t="shared" si="52"/>
        <v>0</v>
      </c>
      <c r="CT13" s="98">
        <f t="shared" si="53"/>
        <v>0</v>
      </c>
      <c r="CU13" s="98">
        <f t="shared" si="54"/>
        <v>0</v>
      </c>
      <c r="CV13" s="95">
        <f t="shared" si="55"/>
        <v>0</v>
      </c>
      <c r="CW13" s="89">
        <f t="shared" si="56"/>
        <v>7.9478749999999998</v>
      </c>
      <c r="CX13" s="89"/>
      <c r="CY13" s="89"/>
      <c r="CZ13" s="89">
        <f t="shared" si="57"/>
        <v>32.643637500000004</v>
      </c>
      <c r="DA13" s="89">
        <f t="shared" si="58"/>
        <v>24.695762500000004</v>
      </c>
    </row>
    <row r="14" spans="1:105" s="96" customFormat="1" ht="26.25" x14ac:dyDescent="0.7">
      <c r="A14" s="89">
        <v>10</v>
      </c>
      <c r="B14" s="89" t="s">
        <v>36</v>
      </c>
      <c r="C14" s="90">
        <v>221</v>
      </c>
      <c r="D14" s="90">
        <f t="shared" si="22"/>
        <v>154700</v>
      </c>
      <c r="E14" s="90">
        <f>$C14*250*0.01</f>
        <v>552.5</v>
      </c>
      <c r="F14" s="90">
        <f>$C14*50*0.01</f>
        <v>110.5</v>
      </c>
      <c r="G14" s="90">
        <f>$C14*20*0.01</f>
        <v>44.2</v>
      </c>
      <c r="H14" s="91">
        <v>401641</v>
      </c>
      <c r="I14" s="99">
        <v>5002</v>
      </c>
      <c r="J14" s="93">
        <v>2664.5610000000001</v>
      </c>
      <c r="K14" s="99">
        <v>5786</v>
      </c>
      <c r="L14" s="95">
        <v>0</v>
      </c>
      <c r="M14" s="94">
        <f t="shared" si="0"/>
        <v>5786</v>
      </c>
      <c r="N14" s="95">
        <v>5000</v>
      </c>
      <c r="O14" s="95">
        <f t="shared" si="59"/>
        <v>30000</v>
      </c>
      <c r="P14" s="95"/>
      <c r="Q14" s="95">
        <f t="shared" si="23"/>
        <v>0</v>
      </c>
      <c r="R14" s="95">
        <f t="shared" si="24"/>
        <v>5000</v>
      </c>
      <c r="S14" s="95">
        <f t="shared" si="25"/>
        <v>30000</v>
      </c>
      <c r="T14" s="95">
        <v>20</v>
      </c>
      <c r="U14" s="95">
        <f t="shared" si="26"/>
        <v>200</v>
      </c>
      <c r="V14" s="95">
        <v>160</v>
      </c>
      <c r="W14" s="95">
        <f t="shared" si="27"/>
        <v>2400</v>
      </c>
      <c r="X14" s="95">
        <f t="shared" si="28"/>
        <v>180</v>
      </c>
      <c r="Y14" s="95">
        <f t="shared" si="28"/>
        <v>2600</v>
      </c>
      <c r="Z14" s="95">
        <v>2638645</v>
      </c>
      <c r="AA14" s="89">
        <v>0</v>
      </c>
      <c r="AB14" s="89">
        <v>104200</v>
      </c>
      <c r="AC14" s="89">
        <f t="shared" si="1"/>
        <v>3190538.5609999998</v>
      </c>
      <c r="AE14" s="89">
        <v>10</v>
      </c>
      <c r="AF14" s="89" t="s">
        <v>36</v>
      </c>
      <c r="AG14" s="94">
        <f t="shared" si="2"/>
        <v>70388.5</v>
      </c>
      <c r="AH14" s="94">
        <f t="shared" si="3"/>
        <v>552.5</v>
      </c>
      <c r="AI14" s="94">
        <f t="shared" si="4"/>
        <v>159.12</v>
      </c>
      <c r="AJ14" s="94">
        <f t="shared" si="5"/>
        <v>150.28</v>
      </c>
      <c r="AK14" s="94">
        <f t="shared" si="29"/>
        <v>0</v>
      </c>
      <c r="AL14" s="94">
        <f t="shared" si="30"/>
        <v>150.28</v>
      </c>
      <c r="AM14" s="95">
        <f t="shared" si="31"/>
        <v>5355</v>
      </c>
      <c r="AN14" s="95">
        <f t="shared" si="6"/>
        <v>0</v>
      </c>
      <c r="AO14" s="95">
        <f t="shared" si="32"/>
        <v>5355</v>
      </c>
      <c r="AP14" s="95">
        <f t="shared" si="7"/>
        <v>11340</v>
      </c>
      <c r="AQ14" s="95">
        <f t="shared" si="8"/>
        <v>135520</v>
      </c>
      <c r="AR14" s="95">
        <f t="shared" si="33"/>
        <v>146860</v>
      </c>
      <c r="AS14" s="89">
        <f t="shared" si="9"/>
        <v>5013425.5</v>
      </c>
      <c r="AT14" s="89">
        <v>0</v>
      </c>
      <c r="AU14" s="89">
        <v>35000</v>
      </c>
      <c r="AV14" s="89">
        <f t="shared" si="34"/>
        <v>5271890.9000000004</v>
      </c>
      <c r="AW14" s="89">
        <v>10</v>
      </c>
      <c r="AX14" s="89" t="s">
        <v>36</v>
      </c>
      <c r="AY14" s="94">
        <f t="shared" si="35"/>
        <v>9639.384</v>
      </c>
      <c r="AZ14" s="94">
        <f t="shared" si="35"/>
        <v>120.048</v>
      </c>
      <c r="BA14" s="94">
        <f t="shared" si="35"/>
        <v>63.949464000000006</v>
      </c>
      <c r="BB14" s="94">
        <f t="shared" si="35"/>
        <v>138.864</v>
      </c>
      <c r="BC14" s="94">
        <f t="shared" si="35"/>
        <v>0</v>
      </c>
      <c r="BD14" s="94">
        <f t="shared" si="36"/>
        <v>138.864</v>
      </c>
      <c r="BE14" s="95">
        <f t="shared" si="37"/>
        <v>120</v>
      </c>
      <c r="BF14" s="95">
        <f t="shared" si="38"/>
        <v>0</v>
      </c>
      <c r="BG14" s="95">
        <f t="shared" si="39"/>
        <v>120</v>
      </c>
      <c r="BH14" s="95">
        <f t="shared" si="40"/>
        <v>0.48</v>
      </c>
      <c r="BI14" s="95">
        <f t="shared" si="41"/>
        <v>3.84</v>
      </c>
      <c r="BJ14" s="95">
        <f t="shared" si="42"/>
        <v>4.32</v>
      </c>
      <c r="BK14" s="89">
        <f t="shared" si="43"/>
        <v>10554.58</v>
      </c>
      <c r="BL14" s="89">
        <f t="shared" si="43"/>
        <v>0</v>
      </c>
      <c r="BM14" s="89">
        <f t="shared" si="43"/>
        <v>416.8</v>
      </c>
      <c r="BN14" s="89">
        <f t="shared" si="44"/>
        <v>21057.945464</v>
      </c>
      <c r="BO14" s="96">
        <f t="shared" si="10"/>
        <v>13452.561</v>
      </c>
      <c r="BP14" s="97">
        <f t="shared" si="45"/>
        <v>0.8619</v>
      </c>
      <c r="BQ14" s="89">
        <v>10</v>
      </c>
      <c r="BR14" s="89" t="s">
        <v>36</v>
      </c>
      <c r="BS14" s="94">
        <f t="shared" si="11"/>
        <v>281940.75</v>
      </c>
      <c r="BT14" s="94">
        <f t="shared" si="12"/>
        <v>1044.2250000000001</v>
      </c>
      <c r="BU14" s="94">
        <f t="shared" si="13"/>
        <v>198.9</v>
      </c>
      <c r="BV14" s="94">
        <f t="shared" si="14"/>
        <v>67.626000000000005</v>
      </c>
      <c r="BW14" s="94">
        <v>0</v>
      </c>
      <c r="BX14" s="94">
        <f t="shared" si="46"/>
        <v>67.626000000000005</v>
      </c>
      <c r="BY14" s="95">
        <f t="shared" si="15"/>
        <v>11687.5</v>
      </c>
      <c r="BZ14" s="95">
        <f t="shared" si="16"/>
        <v>0</v>
      </c>
      <c r="CA14" s="95">
        <f t="shared" si="47"/>
        <v>11687.5</v>
      </c>
      <c r="CB14" s="95">
        <f t="shared" si="17"/>
        <v>480</v>
      </c>
      <c r="CC14" s="95">
        <f t="shared" si="18"/>
        <v>3840</v>
      </c>
      <c r="CD14" s="95">
        <f t="shared" si="48"/>
        <v>4320</v>
      </c>
      <c r="CE14" s="89">
        <v>0</v>
      </c>
      <c r="CF14" s="89"/>
      <c r="CG14" s="89">
        <v>1088000</v>
      </c>
      <c r="CH14" s="89">
        <f t="shared" si="49"/>
        <v>1387259.0009999999</v>
      </c>
      <c r="CI14" s="89">
        <v>10</v>
      </c>
      <c r="CJ14" s="89" t="s">
        <v>36</v>
      </c>
      <c r="CK14" s="98">
        <f t="shared" si="19"/>
        <v>200.82050000000001</v>
      </c>
      <c r="CL14" s="98">
        <f t="shared" si="19"/>
        <v>2.5009999999999999</v>
      </c>
      <c r="CM14" s="98">
        <f t="shared" si="19"/>
        <v>1.3322805</v>
      </c>
      <c r="CN14" s="98">
        <f t="shared" si="50"/>
        <v>5.7859999999999996</v>
      </c>
      <c r="CO14" s="98">
        <f t="shared" si="50"/>
        <v>0</v>
      </c>
      <c r="CP14" s="94">
        <f t="shared" si="51"/>
        <v>5.7859999999999996</v>
      </c>
      <c r="CQ14" s="98">
        <f t="shared" si="20"/>
        <v>2.5</v>
      </c>
      <c r="CR14" s="98">
        <f t="shared" si="21"/>
        <v>0</v>
      </c>
      <c r="CS14" s="95">
        <f t="shared" si="52"/>
        <v>2.5</v>
      </c>
      <c r="CT14" s="98">
        <f t="shared" si="53"/>
        <v>2</v>
      </c>
      <c r="CU14" s="98">
        <f t="shared" si="54"/>
        <v>8</v>
      </c>
      <c r="CV14" s="95">
        <f t="shared" si="55"/>
        <v>10</v>
      </c>
      <c r="CW14" s="89">
        <f t="shared" si="56"/>
        <v>32.983062500000003</v>
      </c>
      <c r="CX14" s="89"/>
      <c r="CY14" s="89"/>
      <c r="CZ14" s="89">
        <f t="shared" si="57"/>
        <v>255.922843</v>
      </c>
      <c r="DA14" s="89">
        <f t="shared" si="58"/>
        <v>214.93978049999998</v>
      </c>
    </row>
    <row r="15" spans="1:105" s="96" customFormat="1" ht="26.25" x14ac:dyDescent="0.7">
      <c r="A15" s="89">
        <v>11</v>
      </c>
      <c r="B15" s="89" t="s">
        <v>37</v>
      </c>
      <c r="C15" s="90">
        <v>81</v>
      </c>
      <c r="D15" s="90">
        <f>C15*700</f>
        <v>56700</v>
      </c>
      <c r="E15" s="90">
        <f>$C15*250*1</f>
        <v>20250</v>
      </c>
      <c r="F15" s="90">
        <f>$C15*50*0.3</f>
        <v>1215</v>
      </c>
      <c r="G15" s="90">
        <f>$C15*20*0.01</f>
        <v>16.2</v>
      </c>
      <c r="H15" s="91">
        <v>110500</v>
      </c>
      <c r="I15" s="99">
        <v>15400</v>
      </c>
      <c r="J15" s="93">
        <v>2300</v>
      </c>
      <c r="K15" s="99">
        <v>353</v>
      </c>
      <c r="L15" s="95">
        <v>0</v>
      </c>
      <c r="M15" s="94">
        <f t="shared" si="0"/>
        <v>353</v>
      </c>
      <c r="N15" s="95">
        <v>2500</v>
      </c>
      <c r="O15" s="95">
        <f>N15*6</f>
        <v>15000</v>
      </c>
      <c r="P15" s="95"/>
      <c r="Q15" s="95">
        <f>P15*11</f>
        <v>0</v>
      </c>
      <c r="R15" s="95">
        <f>P15+N15</f>
        <v>2500</v>
      </c>
      <c r="S15" s="95">
        <f>O15+Q15</f>
        <v>15000</v>
      </c>
      <c r="T15" s="95">
        <v>25</v>
      </c>
      <c r="U15" s="95">
        <f>T15*10</f>
        <v>250</v>
      </c>
      <c r="V15" s="95">
        <v>0</v>
      </c>
      <c r="W15" s="95">
        <f>V15*15</f>
        <v>0</v>
      </c>
      <c r="X15" s="95">
        <f>V15+T15</f>
        <v>25</v>
      </c>
      <c r="Y15" s="95">
        <f>W15+U15</f>
        <v>250</v>
      </c>
      <c r="Z15" s="95">
        <v>1366845</v>
      </c>
      <c r="AA15" s="89">
        <v>0</v>
      </c>
      <c r="AB15" s="89">
        <v>0</v>
      </c>
      <c r="AC15" s="89">
        <f t="shared" si="1"/>
        <v>1510648</v>
      </c>
      <c r="AE15" s="89">
        <v>11</v>
      </c>
      <c r="AF15" s="89" t="s">
        <v>37</v>
      </c>
      <c r="AG15" s="94">
        <f t="shared" si="2"/>
        <v>25798.5</v>
      </c>
      <c r="AH15" s="94">
        <f t="shared" si="3"/>
        <v>20250</v>
      </c>
      <c r="AI15" s="94">
        <f t="shared" si="4"/>
        <v>1749.6000000000001</v>
      </c>
      <c r="AJ15" s="94">
        <f t="shared" si="5"/>
        <v>55.080000000000005</v>
      </c>
      <c r="AK15" s="94">
        <f t="shared" si="29"/>
        <v>0</v>
      </c>
      <c r="AL15" s="94">
        <f>AJ15+AK15</f>
        <v>55.080000000000005</v>
      </c>
      <c r="AM15" s="95">
        <f t="shared" si="31"/>
        <v>2677.5</v>
      </c>
      <c r="AN15" s="95">
        <f t="shared" si="6"/>
        <v>0</v>
      </c>
      <c r="AO15" s="95">
        <f>AM15+AN15</f>
        <v>2677.5</v>
      </c>
      <c r="AP15" s="95">
        <f t="shared" si="7"/>
        <v>14175</v>
      </c>
      <c r="AQ15" s="95">
        <f t="shared" si="8"/>
        <v>0</v>
      </c>
      <c r="AR15" s="95">
        <f>AP15+AQ15</f>
        <v>14175</v>
      </c>
      <c r="AS15" s="89">
        <f t="shared" si="9"/>
        <v>2597005.5</v>
      </c>
      <c r="AT15" s="89">
        <v>0</v>
      </c>
      <c r="AU15" s="89">
        <v>0</v>
      </c>
      <c r="AV15" s="89">
        <f>AG15+AH15+AI15+AL15+AO15+AR15+AS15+AT15+AU15</f>
        <v>2661711.1800000002</v>
      </c>
      <c r="AW15" s="89">
        <v>11</v>
      </c>
      <c r="AX15" s="89" t="s">
        <v>37</v>
      </c>
      <c r="AY15" s="94">
        <f t="shared" si="35"/>
        <v>2652</v>
      </c>
      <c r="AZ15" s="94">
        <f t="shared" si="35"/>
        <v>369.6</v>
      </c>
      <c r="BA15" s="94">
        <f t="shared" si="35"/>
        <v>55.2</v>
      </c>
      <c r="BB15" s="94">
        <f t="shared" si="35"/>
        <v>8.4719999999999995</v>
      </c>
      <c r="BC15" s="94">
        <f>L15*0.024</f>
        <v>0</v>
      </c>
      <c r="BD15" s="94">
        <f>BB15+BC15</f>
        <v>8.4719999999999995</v>
      </c>
      <c r="BE15" s="95">
        <f>N15*0.024</f>
        <v>60</v>
      </c>
      <c r="BF15" s="95">
        <f>AN15*0.024</f>
        <v>0</v>
      </c>
      <c r="BG15" s="95">
        <f>BE15+BF15</f>
        <v>60</v>
      </c>
      <c r="BH15" s="95">
        <f>T15*0.024</f>
        <v>0.6</v>
      </c>
      <c r="BI15" s="95">
        <f>V15*0.024</f>
        <v>0</v>
      </c>
      <c r="BJ15" s="95">
        <f>BH15+BI15</f>
        <v>0.6</v>
      </c>
      <c r="BK15" s="89">
        <f>Z15*0.004</f>
        <v>5467.38</v>
      </c>
      <c r="BL15" s="89">
        <f>AA15*0.004</f>
        <v>0</v>
      </c>
      <c r="BM15" s="89">
        <f>AB15*0.004</f>
        <v>0</v>
      </c>
      <c r="BN15" s="89">
        <f>AY15+AZ15+BA15+BD15+BG15+BJ15+BK15+BL15+BM15</f>
        <v>8613.2520000000004</v>
      </c>
      <c r="BO15" s="96">
        <f t="shared" si="10"/>
        <v>18053</v>
      </c>
      <c r="BP15" s="97">
        <f>(AH15+AI15+AJ15)/1000</f>
        <v>22.054680000000001</v>
      </c>
      <c r="BQ15" s="89">
        <v>11</v>
      </c>
      <c r="BR15" s="89" t="s">
        <v>37</v>
      </c>
      <c r="BS15" s="94">
        <f t="shared" si="11"/>
        <v>103335.75</v>
      </c>
      <c r="BT15" s="94">
        <f t="shared" si="12"/>
        <v>38272.5</v>
      </c>
      <c r="BU15" s="94">
        <f t="shared" si="13"/>
        <v>2187</v>
      </c>
      <c r="BV15" s="94">
        <f t="shared" si="14"/>
        <v>24.786000000000001</v>
      </c>
      <c r="BW15" s="94">
        <v>0</v>
      </c>
      <c r="BX15" s="94">
        <f>BV15+BW15</f>
        <v>24.786000000000001</v>
      </c>
      <c r="BY15" s="95">
        <f t="shared" si="15"/>
        <v>5843.75</v>
      </c>
      <c r="BZ15" s="95">
        <f t="shared" si="16"/>
        <v>0</v>
      </c>
      <c r="CA15" s="95">
        <f>BY15+BZ15</f>
        <v>5843.75</v>
      </c>
      <c r="CB15" s="95">
        <f t="shared" si="17"/>
        <v>600</v>
      </c>
      <c r="CC15" s="95">
        <f t="shared" si="18"/>
        <v>0</v>
      </c>
      <c r="CD15" s="95">
        <f>CB15+CC15</f>
        <v>600</v>
      </c>
      <c r="CE15" s="89">
        <v>0</v>
      </c>
      <c r="CF15" s="89">
        <v>0</v>
      </c>
      <c r="CG15" s="89">
        <v>0</v>
      </c>
      <c r="CH15" s="89">
        <f>BS15+BT15+BU15+BX15+CA15+CD15+CE15+CF15+CG15</f>
        <v>150263.78599999999</v>
      </c>
      <c r="CI15" s="89">
        <v>11</v>
      </c>
      <c r="CJ15" s="89" t="s">
        <v>37</v>
      </c>
      <c r="CK15" s="98">
        <f t="shared" si="19"/>
        <v>55.25</v>
      </c>
      <c r="CL15" s="98">
        <f t="shared" si="19"/>
        <v>7.7</v>
      </c>
      <c r="CM15" s="98">
        <f t="shared" si="19"/>
        <v>1.1499999999999999</v>
      </c>
      <c r="CN15" s="98">
        <f t="shared" si="50"/>
        <v>0.35299999999999998</v>
      </c>
      <c r="CO15" s="98">
        <f>L15/1000</f>
        <v>0</v>
      </c>
      <c r="CP15" s="94">
        <f>CN15+CO15</f>
        <v>0.35299999999999998</v>
      </c>
      <c r="CQ15" s="98">
        <f>N15/2000</f>
        <v>1.25</v>
      </c>
      <c r="CR15" s="98">
        <f>Q15/2000</f>
        <v>0</v>
      </c>
      <c r="CS15" s="95">
        <f>CQ15+CR15</f>
        <v>1.25</v>
      </c>
      <c r="CT15" s="98">
        <f>T15/10</f>
        <v>2.5</v>
      </c>
      <c r="CU15" s="98">
        <f>V15/20</f>
        <v>0</v>
      </c>
      <c r="CV15" s="95">
        <f>CT15+CU15</f>
        <v>2.5</v>
      </c>
      <c r="CW15" s="89">
        <f>(Z15/20000)/4</f>
        <v>17.085562500000002</v>
      </c>
      <c r="CX15" s="89"/>
      <c r="CY15" s="89"/>
      <c r="CZ15" s="89">
        <f>CK15+CL15+CM15+CP15+CS15+CV15+CW15+CX15+CY15</f>
        <v>85.288562500000012</v>
      </c>
      <c r="DA15" s="89">
        <f>CZ15-(CO15+CR15+CU15+CW15+CX15+CY15)</f>
        <v>68.203000000000003</v>
      </c>
    </row>
    <row r="16" spans="1:105" s="96" customFormat="1" ht="26.25" x14ac:dyDescent="0.7">
      <c r="A16" s="89">
        <v>12</v>
      </c>
      <c r="B16" s="89" t="s">
        <v>38</v>
      </c>
      <c r="C16" s="90">
        <v>65</v>
      </c>
      <c r="D16" s="90">
        <f t="shared" si="22"/>
        <v>45500</v>
      </c>
      <c r="E16" s="90">
        <f>$C16*250*0.01</f>
        <v>162.5</v>
      </c>
      <c r="F16" s="90">
        <f>$C16*50*0.01</f>
        <v>32.5</v>
      </c>
      <c r="G16" s="90">
        <f>$C16*20*0.01</f>
        <v>13</v>
      </c>
      <c r="H16" s="91">
        <v>54134</v>
      </c>
      <c r="I16" s="99">
        <v>6641</v>
      </c>
      <c r="J16" s="93">
        <v>1548.174</v>
      </c>
      <c r="K16" s="99">
        <v>377</v>
      </c>
      <c r="L16" s="95">
        <v>0</v>
      </c>
      <c r="M16" s="94">
        <f t="shared" si="0"/>
        <v>377</v>
      </c>
      <c r="N16" s="95">
        <v>0</v>
      </c>
      <c r="O16" s="95">
        <v>10000</v>
      </c>
      <c r="P16" s="95"/>
      <c r="Q16" s="95">
        <f t="shared" si="23"/>
        <v>0</v>
      </c>
      <c r="R16" s="95">
        <f t="shared" si="24"/>
        <v>0</v>
      </c>
      <c r="S16" s="95">
        <f t="shared" si="25"/>
        <v>10000</v>
      </c>
      <c r="T16" s="95">
        <v>0</v>
      </c>
      <c r="U16" s="95">
        <f t="shared" si="26"/>
        <v>0</v>
      </c>
      <c r="V16" s="95">
        <v>0</v>
      </c>
      <c r="W16" s="95">
        <f t="shared" si="27"/>
        <v>0</v>
      </c>
      <c r="X16" s="95">
        <f t="shared" si="28"/>
        <v>0</v>
      </c>
      <c r="Y16" s="95">
        <f t="shared" si="28"/>
        <v>0</v>
      </c>
      <c r="Z16" s="95"/>
      <c r="AA16" s="89">
        <v>0</v>
      </c>
      <c r="AB16" s="89">
        <v>0</v>
      </c>
      <c r="AC16" s="89">
        <f t="shared" si="1"/>
        <v>72700.173999999999</v>
      </c>
      <c r="AE16" s="89">
        <v>12</v>
      </c>
      <c r="AF16" s="89" t="s">
        <v>38</v>
      </c>
      <c r="AG16" s="94">
        <f t="shared" si="2"/>
        <v>20702.5</v>
      </c>
      <c r="AH16" s="94">
        <f t="shared" si="3"/>
        <v>162.5</v>
      </c>
      <c r="AI16" s="94">
        <f t="shared" si="4"/>
        <v>46.800000000000004</v>
      </c>
      <c r="AJ16" s="94">
        <f t="shared" si="5"/>
        <v>44.2</v>
      </c>
      <c r="AK16" s="94">
        <f t="shared" si="29"/>
        <v>0</v>
      </c>
      <c r="AL16" s="94">
        <f t="shared" si="30"/>
        <v>44.2</v>
      </c>
      <c r="AM16" s="95">
        <f t="shared" si="31"/>
        <v>1530</v>
      </c>
      <c r="AN16" s="95">
        <f t="shared" si="6"/>
        <v>0</v>
      </c>
      <c r="AO16" s="95">
        <f t="shared" si="32"/>
        <v>1530</v>
      </c>
      <c r="AP16" s="95">
        <f t="shared" si="7"/>
        <v>0</v>
      </c>
      <c r="AQ16" s="95">
        <f t="shared" si="8"/>
        <v>0</v>
      </c>
      <c r="AR16" s="95">
        <f t="shared" si="33"/>
        <v>0</v>
      </c>
      <c r="AS16" s="89">
        <f t="shared" si="9"/>
        <v>0</v>
      </c>
      <c r="AT16" s="89">
        <v>0</v>
      </c>
      <c r="AU16" s="89">
        <v>0</v>
      </c>
      <c r="AV16" s="89">
        <f t="shared" si="34"/>
        <v>22486</v>
      </c>
      <c r="AW16" s="89">
        <v>12</v>
      </c>
      <c r="AX16" s="89" t="s">
        <v>38</v>
      </c>
      <c r="AY16" s="94">
        <f t="shared" si="35"/>
        <v>1299.2160000000001</v>
      </c>
      <c r="AZ16" s="94">
        <f t="shared" si="35"/>
        <v>159.38400000000001</v>
      </c>
      <c r="BA16" s="94">
        <f t="shared" si="35"/>
        <v>37.156176000000002</v>
      </c>
      <c r="BB16" s="94">
        <f t="shared" si="35"/>
        <v>9.048</v>
      </c>
      <c r="BC16" s="94">
        <f t="shared" si="35"/>
        <v>0</v>
      </c>
      <c r="BD16" s="94">
        <f t="shared" si="36"/>
        <v>9.048</v>
      </c>
      <c r="BE16" s="95">
        <f t="shared" si="37"/>
        <v>0</v>
      </c>
      <c r="BF16" s="95">
        <f t="shared" si="38"/>
        <v>0</v>
      </c>
      <c r="BG16" s="95">
        <f t="shared" si="39"/>
        <v>0</v>
      </c>
      <c r="BH16" s="95">
        <f t="shared" si="40"/>
        <v>0</v>
      </c>
      <c r="BI16" s="95">
        <f t="shared" si="41"/>
        <v>0</v>
      </c>
      <c r="BJ16" s="95">
        <f t="shared" si="42"/>
        <v>0</v>
      </c>
      <c r="BK16" s="89">
        <f t="shared" si="43"/>
        <v>0</v>
      </c>
      <c r="BL16" s="89">
        <f t="shared" si="43"/>
        <v>0</v>
      </c>
      <c r="BM16" s="89">
        <f t="shared" si="43"/>
        <v>0</v>
      </c>
      <c r="BN16" s="89">
        <f t="shared" si="44"/>
        <v>1504.8041760000001</v>
      </c>
      <c r="BO16" s="96">
        <f t="shared" si="10"/>
        <v>8566.1739999999991</v>
      </c>
      <c r="BP16" s="97">
        <f t="shared" si="45"/>
        <v>0.2535</v>
      </c>
      <c r="BQ16" s="89">
        <v>12</v>
      </c>
      <c r="BR16" s="89" t="s">
        <v>38</v>
      </c>
      <c r="BS16" s="94">
        <f t="shared" si="11"/>
        <v>82923.75</v>
      </c>
      <c r="BT16" s="94">
        <f t="shared" si="12"/>
        <v>307.125</v>
      </c>
      <c r="BU16" s="94">
        <f t="shared" si="13"/>
        <v>58.5</v>
      </c>
      <c r="BV16" s="94">
        <f t="shared" si="14"/>
        <v>19.89</v>
      </c>
      <c r="BW16" s="94">
        <v>0</v>
      </c>
      <c r="BX16" s="94">
        <f t="shared" si="46"/>
        <v>19.89</v>
      </c>
      <c r="BY16" s="95">
        <f t="shared" si="15"/>
        <v>0</v>
      </c>
      <c r="BZ16" s="95">
        <f t="shared" si="16"/>
        <v>0</v>
      </c>
      <c r="CA16" s="95">
        <f t="shared" si="47"/>
        <v>0</v>
      </c>
      <c r="CB16" s="95">
        <f t="shared" si="17"/>
        <v>0</v>
      </c>
      <c r="CC16" s="95">
        <f t="shared" si="18"/>
        <v>0</v>
      </c>
      <c r="CD16" s="95">
        <f t="shared" si="48"/>
        <v>0</v>
      </c>
      <c r="CE16" s="89">
        <v>0</v>
      </c>
      <c r="CF16" s="89"/>
      <c r="CG16" s="89"/>
      <c r="CH16" s="89">
        <f t="shared" si="49"/>
        <v>83309.264999999999</v>
      </c>
      <c r="CI16" s="89">
        <v>12</v>
      </c>
      <c r="CJ16" s="89" t="s">
        <v>38</v>
      </c>
      <c r="CK16" s="98">
        <f t="shared" si="19"/>
        <v>27.067</v>
      </c>
      <c r="CL16" s="98">
        <f t="shared" si="19"/>
        <v>3.3205</v>
      </c>
      <c r="CM16" s="98">
        <f t="shared" si="19"/>
        <v>0.77408699999999997</v>
      </c>
      <c r="CN16" s="98">
        <f t="shared" si="50"/>
        <v>0.377</v>
      </c>
      <c r="CO16" s="98">
        <f t="shared" si="50"/>
        <v>0</v>
      </c>
      <c r="CP16" s="94">
        <f t="shared" si="51"/>
        <v>0.377</v>
      </c>
      <c r="CQ16" s="98">
        <f t="shared" si="20"/>
        <v>0</v>
      </c>
      <c r="CR16" s="98">
        <f t="shared" si="21"/>
        <v>0</v>
      </c>
      <c r="CS16" s="95">
        <f t="shared" si="52"/>
        <v>0</v>
      </c>
      <c r="CT16" s="98">
        <f t="shared" si="53"/>
        <v>0</v>
      </c>
      <c r="CU16" s="98">
        <f t="shared" si="54"/>
        <v>0</v>
      </c>
      <c r="CV16" s="95">
        <f t="shared" si="55"/>
        <v>0</v>
      </c>
      <c r="CW16" s="89">
        <f t="shared" si="56"/>
        <v>0</v>
      </c>
      <c r="CX16" s="89"/>
      <c r="CY16" s="89"/>
      <c r="CZ16" s="89">
        <f t="shared" si="57"/>
        <v>31.538587</v>
      </c>
      <c r="DA16" s="89">
        <f t="shared" si="58"/>
        <v>31.538587</v>
      </c>
    </row>
    <row r="17" spans="1:105" s="96" customFormat="1" ht="26.25" x14ac:dyDescent="0.7">
      <c r="A17" s="89">
        <v>13</v>
      </c>
      <c r="B17" s="89" t="s">
        <v>39</v>
      </c>
      <c r="C17" s="90">
        <v>68</v>
      </c>
      <c r="D17" s="90">
        <f t="shared" si="22"/>
        <v>47600</v>
      </c>
      <c r="E17" s="90">
        <f>$C17*250*0.5</f>
        <v>8500</v>
      </c>
      <c r="F17" s="90">
        <f>$C17*50*0.5</f>
        <v>1700</v>
      </c>
      <c r="G17" s="90">
        <f>$C17*20*0.01</f>
        <v>13.6</v>
      </c>
      <c r="H17" s="91">
        <v>26297</v>
      </c>
      <c r="I17" s="99">
        <v>1448</v>
      </c>
      <c r="J17" s="93">
        <v>122.25</v>
      </c>
      <c r="K17" s="99">
        <v>115</v>
      </c>
      <c r="L17" s="95">
        <v>0</v>
      </c>
      <c r="M17" s="94">
        <f t="shared" si="0"/>
        <v>115</v>
      </c>
      <c r="N17" s="95">
        <v>0</v>
      </c>
      <c r="O17" s="95">
        <f t="shared" si="59"/>
        <v>0</v>
      </c>
      <c r="P17" s="95"/>
      <c r="Q17" s="95">
        <f t="shared" si="23"/>
        <v>0</v>
      </c>
      <c r="R17" s="95">
        <f t="shared" si="24"/>
        <v>0</v>
      </c>
      <c r="S17" s="95">
        <f t="shared" si="25"/>
        <v>0</v>
      </c>
      <c r="T17" s="95">
        <v>0</v>
      </c>
      <c r="U17" s="95">
        <f t="shared" si="26"/>
        <v>0</v>
      </c>
      <c r="V17" s="95">
        <v>0</v>
      </c>
      <c r="W17" s="95">
        <f t="shared" si="27"/>
        <v>0</v>
      </c>
      <c r="X17" s="95">
        <f t="shared" si="28"/>
        <v>0</v>
      </c>
      <c r="Y17" s="95">
        <f t="shared" si="28"/>
        <v>0</v>
      </c>
      <c r="Z17" s="95">
        <v>479410</v>
      </c>
      <c r="AA17" s="89">
        <v>0</v>
      </c>
      <c r="AB17" s="89">
        <v>0</v>
      </c>
      <c r="AC17" s="89">
        <f t="shared" si="1"/>
        <v>507392.25</v>
      </c>
      <c r="AE17" s="89">
        <v>13</v>
      </c>
      <c r="AF17" s="89" t="s">
        <v>39</v>
      </c>
      <c r="AG17" s="94">
        <f t="shared" si="2"/>
        <v>21658</v>
      </c>
      <c r="AH17" s="94">
        <f t="shared" si="3"/>
        <v>8500</v>
      </c>
      <c r="AI17" s="94">
        <f t="shared" si="4"/>
        <v>2448</v>
      </c>
      <c r="AJ17" s="94">
        <f t="shared" si="5"/>
        <v>46.24</v>
      </c>
      <c r="AK17" s="94">
        <f t="shared" si="29"/>
        <v>0</v>
      </c>
      <c r="AL17" s="94">
        <f t="shared" si="30"/>
        <v>46.24</v>
      </c>
      <c r="AM17" s="95">
        <f t="shared" si="31"/>
        <v>0</v>
      </c>
      <c r="AN17" s="95">
        <f t="shared" si="6"/>
        <v>0</v>
      </c>
      <c r="AO17" s="95">
        <f t="shared" si="32"/>
        <v>0</v>
      </c>
      <c r="AP17" s="95">
        <f t="shared" si="7"/>
        <v>0</v>
      </c>
      <c r="AQ17" s="95">
        <f t="shared" si="8"/>
        <v>0</v>
      </c>
      <c r="AR17" s="95">
        <f t="shared" si="33"/>
        <v>0</v>
      </c>
      <c r="AS17" s="89">
        <f t="shared" si="9"/>
        <v>910879</v>
      </c>
      <c r="AT17" s="89">
        <v>0</v>
      </c>
      <c r="AU17" s="89">
        <v>0</v>
      </c>
      <c r="AV17" s="89">
        <f t="shared" si="34"/>
        <v>943531.24</v>
      </c>
      <c r="AW17" s="89">
        <v>13</v>
      </c>
      <c r="AX17" s="89" t="s">
        <v>39</v>
      </c>
      <c r="AY17" s="94">
        <f t="shared" si="35"/>
        <v>631.12800000000004</v>
      </c>
      <c r="AZ17" s="94">
        <f t="shared" si="35"/>
        <v>34.752000000000002</v>
      </c>
      <c r="BA17" s="94">
        <f t="shared" si="35"/>
        <v>2.9340000000000002</v>
      </c>
      <c r="BB17" s="94">
        <f t="shared" si="35"/>
        <v>2.7600000000000002</v>
      </c>
      <c r="BC17" s="94">
        <f t="shared" si="35"/>
        <v>0</v>
      </c>
      <c r="BD17" s="94">
        <f t="shared" si="36"/>
        <v>2.7600000000000002</v>
      </c>
      <c r="BE17" s="95">
        <f t="shared" si="37"/>
        <v>0</v>
      </c>
      <c r="BF17" s="95">
        <f t="shared" si="38"/>
        <v>0</v>
      </c>
      <c r="BG17" s="95">
        <f t="shared" si="39"/>
        <v>0</v>
      </c>
      <c r="BH17" s="95">
        <f t="shared" si="40"/>
        <v>0</v>
      </c>
      <c r="BI17" s="95">
        <f t="shared" si="41"/>
        <v>0</v>
      </c>
      <c r="BJ17" s="95">
        <f t="shared" si="42"/>
        <v>0</v>
      </c>
      <c r="BK17" s="89">
        <f t="shared" si="43"/>
        <v>1917.64</v>
      </c>
      <c r="BL17" s="89">
        <f t="shared" si="43"/>
        <v>0</v>
      </c>
      <c r="BM17" s="89">
        <f t="shared" si="43"/>
        <v>0</v>
      </c>
      <c r="BN17" s="89">
        <f t="shared" si="44"/>
        <v>2589.2139999999999</v>
      </c>
      <c r="BO17" s="96">
        <f t="shared" si="10"/>
        <v>1685.25</v>
      </c>
      <c r="BP17" s="97">
        <f t="shared" si="45"/>
        <v>10.99424</v>
      </c>
      <c r="BQ17" s="89">
        <v>13</v>
      </c>
      <c r="BR17" s="89" t="s">
        <v>39</v>
      </c>
      <c r="BS17" s="94">
        <f t="shared" si="11"/>
        <v>86751</v>
      </c>
      <c r="BT17" s="94">
        <f t="shared" si="12"/>
        <v>16065</v>
      </c>
      <c r="BU17" s="94">
        <f t="shared" si="13"/>
        <v>3060</v>
      </c>
      <c r="BV17" s="94">
        <f t="shared" si="14"/>
        <v>20.808</v>
      </c>
      <c r="BW17" s="94">
        <v>0</v>
      </c>
      <c r="BX17" s="94">
        <f t="shared" si="46"/>
        <v>20.808</v>
      </c>
      <c r="BY17" s="95">
        <f t="shared" si="15"/>
        <v>0</v>
      </c>
      <c r="BZ17" s="95">
        <f t="shared" si="16"/>
        <v>0</v>
      </c>
      <c r="CA17" s="95">
        <f t="shared" si="47"/>
        <v>0</v>
      </c>
      <c r="CB17" s="95">
        <f t="shared" si="17"/>
        <v>0</v>
      </c>
      <c r="CC17" s="95">
        <f t="shared" si="18"/>
        <v>0</v>
      </c>
      <c r="CD17" s="95">
        <f t="shared" si="48"/>
        <v>0</v>
      </c>
      <c r="CE17" s="89">
        <v>0</v>
      </c>
      <c r="CF17" s="89">
        <v>0</v>
      </c>
      <c r="CG17" s="89">
        <v>0</v>
      </c>
      <c r="CH17" s="89">
        <f t="shared" si="49"/>
        <v>105896.808</v>
      </c>
      <c r="CI17" s="89">
        <v>13</v>
      </c>
      <c r="CJ17" s="89" t="s">
        <v>39</v>
      </c>
      <c r="CK17" s="98">
        <f t="shared" si="19"/>
        <v>13.1485</v>
      </c>
      <c r="CL17" s="98">
        <f t="shared" si="19"/>
        <v>0.72399999999999998</v>
      </c>
      <c r="CM17" s="98">
        <f t="shared" si="19"/>
        <v>6.1124999999999999E-2</v>
      </c>
      <c r="CN17" s="98">
        <f t="shared" si="50"/>
        <v>0.115</v>
      </c>
      <c r="CO17" s="98">
        <f t="shared" si="50"/>
        <v>0</v>
      </c>
      <c r="CP17" s="94">
        <f t="shared" si="51"/>
        <v>0.115</v>
      </c>
      <c r="CQ17" s="98">
        <f t="shared" si="20"/>
        <v>0</v>
      </c>
      <c r="CR17" s="98">
        <f t="shared" si="21"/>
        <v>0</v>
      </c>
      <c r="CS17" s="95">
        <f t="shared" si="52"/>
        <v>0</v>
      </c>
      <c r="CT17" s="98">
        <f t="shared" si="53"/>
        <v>0</v>
      </c>
      <c r="CU17" s="98">
        <f t="shared" si="54"/>
        <v>0</v>
      </c>
      <c r="CV17" s="95">
        <f t="shared" si="55"/>
        <v>0</v>
      </c>
      <c r="CW17" s="89">
        <f t="shared" si="56"/>
        <v>5.9926250000000003</v>
      </c>
      <c r="CX17" s="89"/>
      <c r="CY17" s="89"/>
      <c r="CZ17" s="89">
        <f t="shared" si="57"/>
        <v>20.041250000000002</v>
      </c>
      <c r="DA17" s="89">
        <f t="shared" si="58"/>
        <v>14.048625000000001</v>
      </c>
    </row>
    <row r="18" spans="1:105" s="96" customFormat="1" ht="26.25" x14ac:dyDescent="0.7">
      <c r="A18" s="89">
        <v>14</v>
      </c>
      <c r="B18" s="89" t="s">
        <v>40</v>
      </c>
      <c r="C18" s="90">
        <v>367</v>
      </c>
      <c r="D18" s="90">
        <f t="shared" si="22"/>
        <v>256900</v>
      </c>
      <c r="E18" s="90">
        <f>$C18*250*0.01</f>
        <v>917.5</v>
      </c>
      <c r="F18" s="90">
        <f>$C18*50*0.01</f>
        <v>183.5</v>
      </c>
      <c r="G18" s="90">
        <f>$C18*20*0.02</f>
        <v>146.80000000000001</v>
      </c>
      <c r="H18" s="91">
        <v>114580</v>
      </c>
      <c r="I18" s="99">
        <v>3148</v>
      </c>
      <c r="J18" s="93">
        <v>1139.3699999999999</v>
      </c>
      <c r="K18" s="99">
        <v>960</v>
      </c>
      <c r="L18" s="95">
        <v>0</v>
      </c>
      <c r="M18" s="94">
        <f t="shared" si="0"/>
        <v>960</v>
      </c>
      <c r="N18" s="95">
        <v>60000</v>
      </c>
      <c r="O18" s="95">
        <f t="shared" si="59"/>
        <v>360000</v>
      </c>
      <c r="P18" s="95">
        <v>5000</v>
      </c>
      <c r="Q18" s="95">
        <f t="shared" si="23"/>
        <v>55000</v>
      </c>
      <c r="R18" s="95">
        <f t="shared" si="24"/>
        <v>65000</v>
      </c>
      <c r="S18" s="95">
        <f t="shared" si="25"/>
        <v>415000</v>
      </c>
      <c r="T18" s="95">
        <v>30</v>
      </c>
      <c r="U18" s="95">
        <f t="shared" si="26"/>
        <v>300</v>
      </c>
      <c r="V18" s="95">
        <v>0</v>
      </c>
      <c r="W18" s="95">
        <f t="shared" si="27"/>
        <v>0</v>
      </c>
      <c r="X18" s="95">
        <f t="shared" si="28"/>
        <v>30</v>
      </c>
      <c r="Y18" s="95">
        <f t="shared" si="28"/>
        <v>300</v>
      </c>
      <c r="Z18" s="95">
        <v>10175070</v>
      </c>
      <c r="AA18" s="89">
        <v>0</v>
      </c>
      <c r="AB18" s="89">
        <v>40300</v>
      </c>
      <c r="AC18" s="89">
        <f t="shared" si="1"/>
        <v>10750497.369999999</v>
      </c>
      <c r="AE18" s="89">
        <v>14</v>
      </c>
      <c r="AF18" s="89" t="s">
        <v>40</v>
      </c>
      <c r="AG18" s="94">
        <f t="shared" si="2"/>
        <v>116889.5</v>
      </c>
      <c r="AH18" s="94">
        <f t="shared" si="3"/>
        <v>917.5</v>
      </c>
      <c r="AI18" s="94">
        <f t="shared" si="4"/>
        <v>264.24</v>
      </c>
      <c r="AJ18" s="94">
        <f t="shared" si="5"/>
        <v>499.12000000000012</v>
      </c>
      <c r="AK18" s="94">
        <f t="shared" si="29"/>
        <v>0</v>
      </c>
      <c r="AL18" s="94">
        <f t="shared" si="30"/>
        <v>499.12000000000012</v>
      </c>
      <c r="AM18" s="95">
        <f t="shared" si="31"/>
        <v>64260</v>
      </c>
      <c r="AN18" s="95">
        <f t="shared" si="6"/>
        <v>9180</v>
      </c>
      <c r="AO18" s="95">
        <f t="shared" si="32"/>
        <v>73440</v>
      </c>
      <c r="AP18" s="95">
        <f t="shared" si="7"/>
        <v>17010</v>
      </c>
      <c r="AQ18" s="95">
        <f t="shared" si="8"/>
        <v>0</v>
      </c>
      <c r="AR18" s="95">
        <f t="shared" si="33"/>
        <v>17010</v>
      </c>
      <c r="AS18" s="89">
        <f t="shared" si="9"/>
        <v>19332633</v>
      </c>
      <c r="AT18" s="89">
        <v>0</v>
      </c>
      <c r="AU18" s="89">
        <v>44800</v>
      </c>
      <c r="AV18" s="89">
        <f t="shared" si="34"/>
        <v>19586453.359999999</v>
      </c>
      <c r="AW18" s="89">
        <v>14</v>
      </c>
      <c r="AX18" s="89" t="s">
        <v>40</v>
      </c>
      <c r="AY18" s="94">
        <f t="shared" si="35"/>
        <v>2749.92</v>
      </c>
      <c r="AZ18" s="94">
        <f t="shared" si="35"/>
        <v>75.552000000000007</v>
      </c>
      <c r="BA18" s="94">
        <f t="shared" si="35"/>
        <v>27.344879999999996</v>
      </c>
      <c r="BB18" s="94">
        <f t="shared" si="35"/>
        <v>23.04</v>
      </c>
      <c r="BC18" s="94">
        <f t="shared" si="35"/>
        <v>0</v>
      </c>
      <c r="BD18" s="94">
        <f t="shared" si="36"/>
        <v>23.04</v>
      </c>
      <c r="BE18" s="95">
        <f t="shared" si="37"/>
        <v>1440</v>
      </c>
      <c r="BF18" s="95">
        <f t="shared" si="38"/>
        <v>220.32</v>
      </c>
      <c r="BG18" s="95">
        <f t="shared" si="39"/>
        <v>1660.32</v>
      </c>
      <c r="BH18" s="95">
        <f t="shared" si="40"/>
        <v>0.72</v>
      </c>
      <c r="BI18" s="95">
        <f t="shared" si="41"/>
        <v>0</v>
      </c>
      <c r="BJ18" s="95">
        <f t="shared" si="42"/>
        <v>0.72</v>
      </c>
      <c r="BK18" s="89">
        <f t="shared" si="43"/>
        <v>40700.28</v>
      </c>
      <c r="BL18" s="89">
        <f t="shared" si="43"/>
        <v>0</v>
      </c>
      <c r="BM18" s="89">
        <f t="shared" si="43"/>
        <v>161.20000000000002</v>
      </c>
      <c r="BN18" s="89">
        <f t="shared" si="44"/>
        <v>45398.376879999996</v>
      </c>
      <c r="BO18" s="96">
        <f t="shared" si="10"/>
        <v>5247.37</v>
      </c>
      <c r="BP18" s="97">
        <f t="shared" si="45"/>
        <v>1.68086</v>
      </c>
      <c r="BQ18" s="89">
        <v>14</v>
      </c>
      <c r="BR18" s="89" t="s">
        <v>40</v>
      </c>
      <c r="BS18" s="94">
        <f t="shared" si="11"/>
        <v>468200.25</v>
      </c>
      <c r="BT18" s="94">
        <f t="shared" si="12"/>
        <v>1734.075</v>
      </c>
      <c r="BU18" s="94">
        <f t="shared" si="13"/>
        <v>330.3</v>
      </c>
      <c r="BV18" s="94">
        <f t="shared" si="14"/>
        <v>224.60400000000007</v>
      </c>
      <c r="BW18" s="94">
        <v>0</v>
      </c>
      <c r="BX18" s="94">
        <f t="shared" si="46"/>
        <v>224.60400000000007</v>
      </c>
      <c r="BY18" s="95">
        <f t="shared" si="15"/>
        <v>140250</v>
      </c>
      <c r="BZ18" s="95">
        <f t="shared" si="16"/>
        <v>11687.5</v>
      </c>
      <c r="CA18" s="95">
        <f t="shared" si="47"/>
        <v>151937.5</v>
      </c>
      <c r="CB18" s="95">
        <f t="shared" si="17"/>
        <v>720</v>
      </c>
      <c r="CC18" s="95">
        <f t="shared" si="18"/>
        <v>0</v>
      </c>
      <c r="CD18" s="95">
        <f t="shared" si="48"/>
        <v>720</v>
      </c>
      <c r="CE18" s="89">
        <v>0</v>
      </c>
      <c r="CF18" s="89">
        <v>0</v>
      </c>
      <c r="CG18" s="89">
        <v>304500</v>
      </c>
      <c r="CH18" s="89">
        <f t="shared" si="49"/>
        <v>927646.72900000005</v>
      </c>
      <c r="CI18" s="89">
        <v>14</v>
      </c>
      <c r="CJ18" s="89" t="s">
        <v>40</v>
      </c>
      <c r="CK18" s="98">
        <f t="shared" si="19"/>
        <v>57.29</v>
      </c>
      <c r="CL18" s="98">
        <f t="shared" si="19"/>
        <v>1.5740000000000001</v>
      </c>
      <c r="CM18" s="98">
        <f t="shared" si="19"/>
        <v>0.569685</v>
      </c>
      <c r="CN18" s="98">
        <f t="shared" si="50"/>
        <v>0.96</v>
      </c>
      <c r="CO18" s="98">
        <f t="shared" si="50"/>
        <v>0</v>
      </c>
      <c r="CP18" s="94">
        <f t="shared" si="51"/>
        <v>0.96</v>
      </c>
      <c r="CQ18" s="98">
        <f t="shared" si="20"/>
        <v>30</v>
      </c>
      <c r="CR18" s="98">
        <f t="shared" si="21"/>
        <v>27.5</v>
      </c>
      <c r="CS18" s="95">
        <f t="shared" si="52"/>
        <v>57.5</v>
      </c>
      <c r="CT18" s="98">
        <f t="shared" si="53"/>
        <v>3</v>
      </c>
      <c r="CU18" s="98">
        <f t="shared" si="54"/>
        <v>0</v>
      </c>
      <c r="CV18" s="95">
        <f t="shared" si="55"/>
        <v>3</v>
      </c>
      <c r="CW18" s="89">
        <f t="shared" si="56"/>
        <v>127.18837499999999</v>
      </c>
      <c r="CX18" s="89"/>
      <c r="CY18" s="89"/>
      <c r="CZ18" s="89">
        <f t="shared" si="57"/>
        <v>248.08206000000001</v>
      </c>
      <c r="DA18" s="89">
        <f t="shared" si="58"/>
        <v>93.393685000000005</v>
      </c>
    </row>
    <row r="19" spans="1:105" s="96" customFormat="1" ht="26.25" x14ac:dyDescent="0.7">
      <c r="A19" s="89">
        <v>15</v>
      </c>
      <c r="B19" s="89" t="s">
        <v>41</v>
      </c>
      <c r="C19" s="90">
        <v>86</v>
      </c>
      <c r="D19" s="90">
        <f t="shared" si="22"/>
        <v>60200</v>
      </c>
      <c r="E19" s="90">
        <f>$C19*250*1</f>
        <v>21500</v>
      </c>
      <c r="F19" s="90">
        <f>$C19*50*0.01</f>
        <v>43</v>
      </c>
      <c r="G19" s="90">
        <f>$C19*20*0.01</f>
        <v>17.2</v>
      </c>
      <c r="H19" s="91">
        <v>37372</v>
      </c>
      <c r="I19" s="99">
        <v>7115</v>
      </c>
      <c r="J19" s="93">
        <v>1162.8419999999999</v>
      </c>
      <c r="K19" s="99">
        <v>225</v>
      </c>
      <c r="L19" s="95">
        <v>0</v>
      </c>
      <c r="M19" s="94">
        <f t="shared" si="0"/>
        <v>225</v>
      </c>
      <c r="N19" s="95">
        <v>2000</v>
      </c>
      <c r="O19" s="95">
        <f t="shared" si="59"/>
        <v>12000</v>
      </c>
      <c r="P19" s="95"/>
      <c r="Q19" s="95">
        <f t="shared" si="23"/>
        <v>0</v>
      </c>
      <c r="R19" s="95">
        <f t="shared" si="24"/>
        <v>2000</v>
      </c>
      <c r="S19" s="95">
        <f t="shared" si="25"/>
        <v>12000</v>
      </c>
      <c r="T19" s="95">
        <v>50</v>
      </c>
      <c r="U19" s="95">
        <f t="shared" si="26"/>
        <v>500</v>
      </c>
      <c r="V19" s="95">
        <v>0</v>
      </c>
      <c r="W19" s="95">
        <f t="shared" si="27"/>
        <v>0</v>
      </c>
      <c r="X19" s="95">
        <f t="shared" si="28"/>
        <v>50</v>
      </c>
      <c r="Y19" s="95">
        <f t="shared" si="28"/>
        <v>500</v>
      </c>
      <c r="Z19" s="95">
        <v>1718145</v>
      </c>
      <c r="AA19" s="89">
        <v>0</v>
      </c>
      <c r="AB19" s="89">
        <v>0</v>
      </c>
      <c r="AC19" s="89">
        <f t="shared" si="1"/>
        <v>1776519.8419999999</v>
      </c>
      <c r="AE19" s="89">
        <v>15</v>
      </c>
      <c r="AF19" s="89" t="s">
        <v>41</v>
      </c>
      <c r="AG19" s="94">
        <f t="shared" si="2"/>
        <v>27391</v>
      </c>
      <c r="AH19" s="94">
        <f t="shared" si="3"/>
        <v>21500</v>
      </c>
      <c r="AI19" s="94">
        <f t="shared" si="4"/>
        <v>61.92</v>
      </c>
      <c r="AJ19" s="94">
        <f t="shared" si="5"/>
        <v>58.480000000000004</v>
      </c>
      <c r="AK19" s="94">
        <f t="shared" si="29"/>
        <v>0</v>
      </c>
      <c r="AL19" s="94">
        <f t="shared" si="30"/>
        <v>58.480000000000004</v>
      </c>
      <c r="AM19" s="95">
        <f t="shared" si="31"/>
        <v>2142</v>
      </c>
      <c r="AN19" s="95">
        <f t="shared" si="6"/>
        <v>0</v>
      </c>
      <c r="AO19" s="95">
        <f t="shared" si="32"/>
        <v>2142</v>
      </c>
      <c r="AP19" s="95">
        <f t="shared" si="7"/>
        <v>28350</v>
      </c>
      <c r="AQ19" s="95">
        <f t="shared" si="8"/>
        <v>0</v>
      </c>
      <c r="AR19" s="95">
        <f t="shared" si="33"/>
        <v>28350</v>
      </c>
      <c r="AS19" s="89">
        <f t="shared" si="9"/>
        <v>3264475.5</v>
      </c>
      <c r="AT19" s="89">
        <v>0</v>
      </c>
      <c r="AU19" s="89">
        <v>0</v>
      </c>
      <c r="AV19" s="89">
        <f t="shared" si="34"/>
        <v>3343978.9</v>
      </c>
      <c r="AW19" s="89">
        <v>15</v>
      </c>
      <c r="AX19" s="89" t="s">
        <v>41</v>
      </c>
      <c r="AY19" s="94">
        <f t="shared" si="35"/>
        <v>896.928</v>
      </c>
      <c r="AZ19" s="94">
        <f t="shared" si="35"/>
        <v>170.76</v>
      </c>
      <c r="BA19" s="94">
        <f t="shared" si="35"/>
        <v>27.908207999999998</v>
      </c>
      <c r="BB19" s="94">
        <f t="shared" si="35"/>
        <v>5.4</v>
      </c>
      <c r="BC19" s="94">
        <f t="shared" si="35"/>
        <v>0</v>
      </c>
      <c r="BD19" s="94">
        <f t="shared" si="36"/>
        <v>5.4</v>
      </c>
      <c r="BE19" s="95">
        <f t="shared" si="37"/>
        <v>48</v>
      </c>
      <c r="BF19" s="95">
        <f t="shared" si="38"/>
        <v>0</v>
      </c>
      <c r="BG19" s="95">
        <f t="shared" si="39"/>
        <v>48</v>
      </c>
      <c r="BH19" s="95">
        <f t="shared" si="40"/>
        <v>1.2</v>
      </c>
      <c r="BI19" s="95">
        <f t="shared" si="41"/>
        <v>0</v>
      </c>
      <c r="BJ19" s="95">
        <f t="shared" si="42"/>
        <v>1.2</v>
      </c>
      <c r="BK19" s="89">
        <f t="shared" si="43"/>
        <v>6872.58</v>
      </c>
      <c r="BL19" s="89">
        <f t="shared" si="43"/>
        <v>0</v>
      </c>
      <c r="BM19" s="89">
        <f t="shared" si="43"/>
        <v>0</v>
      </c>
      <c r="BN19" s="89">
        <f t="shared" si="44"/>
        <v>8022.7762080000002</v>
      </c>
      <c r="BO19" s="96">
        <f t="shared" si="10"/>
        <v>8502.8420000000006</v>
      </c>
      <c r="BP19" s="97">
        <f t="shared" si="45"/>
        <v>21.620399999999997</v>
      </c>
      <c r="BQ19" s="89">
        <v>15</v>
      </c>
      <c r="BR19" s="89" t="s">
        <v>41</v>
      </c>
      <c r="BS19" s="94">
        <f t="shared" si="11"/>
        <v>109714.5</v>
      </c>
      <c r="BT19" s="94">
        <f t="shared" si="12"/>
        <v>40635</v>
      </c>
      <c r="BU19" s="94">
        <f t="shared" si="13"/>
        <v>77.400000000000006</v>
      </c>
      <c r="BV19" s="94">
        <f t="shared" si="14"/>
        <v>26.316000000000003</v>
      </c>
      <c r="BW19" s="94">
        <v>0</v>
      </c>
      <c r="BX19" s="94">
        <f t="shared" si="46"/>
        <v>26.316000000000003</v>
      </c>
      <c r="BY19" s="95">
        <f t="shared" si="15"/>
        <v>4675</v>
      </c>
      <c r="BZ19" s="95">
        <f t="shared" si="16"/>
        <v>0</v>
      </c>
      <c r="CA19" s="95">
        <f t="shared" si="47"/>
        <v>4675</v>
      </c>
      <c r="CB19" s="95">
        <f t="shared" si="17"/>
        <v>1200</v>
      </c>
      <c r="CC19" s="95">
        <f t="shared" si="18"/>
        <v>0</v>
      </c>
      <c r="CD19" s="95">
        <f t="shared" si="48"/>
        <v>1200</v>
      </c>
      <c r="CE19" s="89">
        <v>0</v>
      </c>
      <c r="CF19" s="89">
        <v>0</v>
      </c>
      <c r="CG19" s="89">
        <v>0</v>
      </c>
      <c r="CH19" s="89">
        <f t="shared" si="49"/>
        <v>156328.21599999999</v>
      </c>
      <c r="CI19" s="89">
        <v>15</v>
      </c>
      <c r="CJ19" s="89" t="s">
        <v>41</v>
      </c>
      <c r="CK19" s="98">
        <f t="shared" si="19"/>
        <v>18.686</v>
      </c>
      <c r="CL19" s="98">
        <f t="shared" si="19"/>
        <v>3.5575000000000001</v>
      </c>
      <c r="CM19" s="98">
        <f t="shared" si="19"/>
        <v>0.58142099999999997</v>
      </c>
      <c r="CN19" s="98">
        <f t="shared" si="50"/>
        <v>0.22500000000000001</v>
      </c>
      <c r="CO19" s="98">
        <f t="shared" si="50"/>
        <v>0</v>
      </c>
      <c r="CP19" s="94">
        <f t="shared" si="51"/>
        <v>0.22500000000000001</v>
      </c>
      <c r="CQ19" s="98">
        <f t="shared" si="20"/>
        <v>1</v>
      </c>
      <c r="CR19" s="98">
        <f t="shared" si="21"/>
        <v>0</v>
      </c>
      <c r="CS19" s="95">
        <f t="shared" si="52"/>
        <v>1</v>
      </c>
      <c r="CT19" s="98">
        <f t="shared" si="53"/>
        <v>5</v>
      </c>
      <c r="CU19" s="98">
        <f t="shared" si="54"/>
        <v>0</v>
      </c>
      <c r="CV19" s="95">
        <f t="shared" si="55"/>
        <v>5</v>
      </c>
      <c r="CW19" s="89">
        <f t="shared" si="56"/>
        <v>21.476812500000001</v>
      </c>
      <c r="CX19" s="89"/>
      <c r="CY19" s="89"/>
      <c r="CZ19" s="89">
        <f t="shared" si="57"/>
        <v>50.526733500000006</v>
      </c>
      <c r="DA19" s="89">
        <f t="shared" si="58"/>
        <v>29.049921000000005</v>
      </c>
    </row>
    <row r="20" spans="1:105" s="96" customFormat="1" ht="26.25" x14ac:dyDescent="0.7">
      <c r="A20" s="89">
        <v>16</v>
      </c>
      <c r="B20" s="89" t="s">
        <v>71</v>
      </c>
      <c r="C20" s="90">
        <v>128</v>
      </c>
      <c r="D20" s="90">
        <f t="shared" si="22"/>
        <v>89600</v>
      </c>
      <c r="E20" s="90">
        <f>$C20*250*0.01</f>
        <v>320</v>
      </c>
      <c r="F20" s="90">
        <f>$C20*50*0.01</f>
        <v>64</v>
      </c>
      <c r="G20" s="90">
        <f>$C20*20*0.01</f>
        <v>25.6</v>
      </c>
      <c r="H20" s="91">
        <v>64494</v>
      </c>
      <c r="I20" s="99">
        <v>961</v>
      </c>
      <c r="J20" s="93">
        <v>141.81</v>
      </c>
      <c r="K20" s="99">
        <v>840</v>
      </c>
      <c r="L20" s="95">
        <v>0</v>
      </c>
      <c r="M20" s="94">
        <f t="shared" si="0"/>
        <v>840</v>
      </c>
      <c r="N20" s="95">
        <v>2000</v>
      </c>
      <c r="O20" s="95">
        <f t="shared" si="59"/>
        <v>12000</v>
      </c>
      <c r="P20" s="95"/>
      <c r="Q20" s="95">
        <f t="shared" si="23"/>
        <v>0</v>
      </c>
      <c r="R20" s="95">
        <f t="shared" si="24"/>
        <v>2000</v>
      </c>
      <c r="S20" s="95">
        <f t="shared" si="25"/>
        <v>12000</v>
      </c>
      <c r="T20" s="95">
        <v>0</v>
      </c>
      <c r="U20" s="95">
        <f t="shared" si="26"/>
        <v>0</v>
      </c>
      <c r="V20" s="95">
        <v>0</v>
      </c>
      <c r="W20" s="95">
        <f t="shared" si="27"/>
        <v>0</v>
      </c>
      <c r="X20" s="95">
        <f t="shared" si="28"/>
        <v>0</v>
      </c>
      <c r="Y20" s="95">
        <f t="shared" si="28"/>
        <v>0</v>
      </c>
      <c r="Z20" s="95">
        <v>441350</v>
      </c>
      <c r="AA20" s="89">
        <v>0</v>
      </c>
      <c r="AB20" s="89">
        <v>0</v>
      </c>
      <c r="AC20" s="89">
        <f t="shared" si="1"/>
        <v>519786.81</v>
      </c>
      <c r="AE20" s="89">
        <v>16</v>
      </c>
      <c r="AF20" s="89" t="s">
        <v>71</v>
      </c>
      <c r="AG20" s="94">
        <f t="shared" si="2"/>
        <v>40768</v>
      </c>
      <c r="AH20" s="94">
        <f t="shared" si="3"/>
        <v>320</v>
      </c>
      <c r="AI20" s="94">
        <f t="shared" si="4"/>
        <v>92.160000000000011</v>
      </c>
      <c r="AJ20" s="94">
        <f t="shared" si="5"/>
        <v>87.04</v>
      </c>
      <c r="AK20" s="94">
        <f t="shared" si="29"/>
        <v>0</v>
      </c>
      <c r="AL20" s="94">
        <f t="shared" si="30"/>
        <v>87.04</v>
      </c>
      <c r="AM20" s="95">
        <f t="shared" si="31"/>
        <v>2142</v>
      </c>
      <c r="AN20" s="95">
        <f t="shared" si="6"/>
        <v>0</v>
      </c>
      <c r="AO20" s="95">
        <f t="shared" si="32"/>
        <v>2142</v>
      </c>
      <c r="AP20" s="95">
        <f t="shared" si="7"/>
        <v>0</v>
      </c>
      <c r="AQ20" s="95">
        <f t="shared" si="8"/>
        <v>0</v>
      </c>
      <c r="AR20" s="95">
        <f t="shared" si="33"/>
        <v>0</v>
      </c>
      <c r="AS20" s="89">
        <f t="shared" si="9"/>
        <v>838565</v>
      </c>
      <c r="AT20" s="89">
        <v>0</v>
      </c>
      <c r="AU20" s="89">
        <v>0</v>
      </c>
      <c r="AV20" s="89">
        <f t="shared" si="34"/>
        <v>881974.2</v>
      </c>
      <c r="AW20" s="89">
        <v>16</v>
      </c>
      <c r="AX20" s="89" t="s">
        <v>71</v>
      </c>
      <c r="AY20" s="94">
        <f t="shared" si="35"/>
        <v>1547.856</v>
      </c>
      <c r="AZ20" s="94">
        <f t="shared" si="35"/>
        <v>23.064</v>
      </c>
      <c r="BA20" s="94">
        <f t="shared" si="35"/>
        <v>3.4034400000000002</v>
      </c>
      <c r="BB20" s="94">
        <f t="shared" si="35"/>
        <v>20.16</v>
      </c>
      <c r="BC20" s="94">
        <f t="shared" si="35"/>
        <v>0</v>
      </c>
      <c r="BD20" s="94">
        <f t="shared" si="36"/>
        <v>20.16</v>
      </c>
      <c r="BE20" s="95">
        <f t="shared" si="37"/>
        <v>48</v>
      </c>
      <c r="BF20" s="95">
        <f t="shared" si="38"/>
        <v>0</v>
      </c>
      <c r="BG20" s="95">
        <f t="shared" si="39"/>
        <v>48</v>
      </c>
      <c r="BH20" s="95">
        <f t="shared" si="40"/>
        <v>0</v>
      </c>
      <c r="BI20" s="95">
        <f t="shared" si="41"/>
        <v>0</v>
      </c>
      <c r="BJ20" s="95">
        <f t="shared" si="42"/>
        <v>0</v>
      </c>
      <c r="BK20" s="89">
        <f t="shared" si="43"/>
        <v>1765.4</v>
      </c>
      <c r="BL20" s="89">
        <f t="shared" si="43"/>
        <v>0</v>
      </c>
      <c r="BM20" s="89">
        <f t="shared" si="43"/>
        <v>0</v>
      </c>
      <c r="BN20" s="89">
        <f t="shared" si="44"/>
        <v>3407.8834400000005</v>
      </c>
      <c r="BO20" s="96">
        <f t="shared" si="10"/>
        <v>1942.81</v>
      </c>
      <c r="BP20" s="97">
        <f t="shared" si="45"/>
        <v>0.49920000000000003</v>
      </c>
      <c r="BQ20" s="89">
        <v>16</v>
      </c>
      <c r="BR20" s="89" t="s">
        <v>71</v>
      </c>
      <c r="BS20" s="94">
        <f t="shared" si="11"/>
        <v>163296</v>
      </c>
      <c r="BT20" s="94">
        <f t="shared" si="12"/>
        <v>604.80000000000007</v>
      </c>
      <c r="BU20" s="94">
        <f t="shared" si="13"/>
        <v>115.2</v>
      </c>
      <c r="BV20" s="94">
        <f t="shared" si="14"/>
        <v>39.168000000000006</v>
      </c>
      <c r="BW20" s="94">
        <v>0</v>
      </c>
      <c r="BX20" s="94">
        <f t="shared" si="46"/>
        <v>39.168000000000006</v>
      </c>
      <c r="BY20" s="95">
        <f t="shared" si="15"/>
        <v>4675</v>
      </c>
      <c r="BZ20" s="95">
        <f t="shared" si="16"/>
        <v>0</v>
      </c>
      <c r="CA20" s="95">
        <f t="shared" si="47"/>
        <v>4675</v>
      </c>
      <c r="CB20" s="95">
        <f t="shared" si="17"/>
        <v>0</v>
      </c>
      <c r="CC20" s="95">
        <f t="shared" si="18"/>
        <v>0</v>
      </c>
      <c r="CD20" s="95">
        <f t="shared" si="48"/>
        <v>0</v>
      </c>
      <c r="CE20" s="89">
        <v>0</v>
      </c>
      <c r="CF20" s="89">
        <v>0</v>
      </c>
      <c r="CG20" s="89">
        <v>0</v>
      </c>
      <c r="CH20" s="89">
        <f t="shared" si="49"/>
        <v>168730.16800000001</v>
      </c>
      <c r="CI20" s="89">
        <v>16</v>
      </c>
      <c r="CJ20" s="89" t="s">
        <v>71</v>
      </c>
      <c r="CK20" s="98">
        <f t="shared" si="19"/>
        <v>32.247</v>
      </c>
      <c r="CL20" s="98">
        <f t="shared" si="19"/>
        <v>0.48049999999999998</v>
      </c>
      <c r="CM20" s="98">
        <f t="shared" si="19"/>
        <v>7.0904999999999996E-2</v>
      </c>
      <c r="CN20" s="98">
        <f t="shared" si="50"/>
        <v>0.84</v>
      </c>
      <c r="CO20" s="98">
        <f t="shared" si="50"/>
        <v>0</v>
      </c>
      <c r="CP20" s="94">
        <f t="shared" si="51"/>
        <v>0.84</v>
      </c>
      <c r="CQ20" s="98">
        <f t="shared" si="20"/>
        <v>1</v>
      </c>
      <c r="CR20" s="98">
        <f t="shared" si="21"/>
        <v>0</v>
      </c>
      <c r="CS20" s="95">
        <f t="shared" si="52"/>
        <v>1</v>
      </c>
      <c r="CT20" s="98">
        <f t="shared" si="53"/>
        <v>0</v>
      </c>
      <c r="CU20" s="98">
        <f t="shared" si="54"/>
        <v>0</v>
      </c>
      <c r="CV20" s="95">
        <f t="shared" si="55"/>
        <v>0</v>
      </c>
      <c r="CW20" s="89">
        <f t="shared" si="56"/>
        <v>5.5168749999999998</v>
      </c>
      <c r="CX20" s="89"/>
      <c r="CY20" s="89"/>
      <c r="CZ20" s="89">
        <f t="shared" si="57"/>
        <v>40.155280000000005</v>
      </c>
      <c r="DA20" s="89">
        <f t="shared" si="58"/>
        <v>34.638405000000006</v>
      </c>
    </row>
    <row r="21" spans="1:105" s="96" customFormat="1" ht="26.25" x14ac:dyDescent="0.7">
      <c r="A21" s="89">
        <v>17</v>
      </c>
      <c r="B21" s="89" t="s">
        <v>43</v>
      </c>
      <c r="C21" s="90">
        <v>180</v>
      </c>
      <c r="D21" s="90">
        <f t="shared" si="22"/>
        <v>126000</v>
      </c>
      <c r="E21" s="90">
        <f>$C21*250*0.01</f>
        <v>450</v>
      </c>
      <c r="F21" s="90">
        <f>$C21*50*0.01</f>
        <v>90</v>
      </c>
      <c r="G21" s="90">
        <f>$C21*20*0.03</f>
        <v>108</v>
      </c>
      <c r="H21" s="91">
        <v>141152</v>
      </c>
      <c r="I21" s="99">
        <v>2245</v>
      </c>
      <c r="J21" s="93">
        <v>330.56400000000002</v>
      </c>
      <c r="K21" s="99">
        <v>1962</v>
      </c>
      <c r="L21" s="95">
        <v>0</v>
      </c>
      <c r="M21" s="94">
        <f t="shared" si="0"/>
        <v>1962</v>
      </c>
      <c r="N21" s="95">
        <v>50000</v>
      </c>
      <c r="O21" s="95">
        <f t="shared" si="59"/>
        <v>300000</v>
      </c>
      <c r="P21" s="95"/>
      <c r="Q21" s="95">
        <f t="shared" si="23"/>
        <v>0</v>
      </c>
      <c r="R21" s="95">
        <f t="shared" si="24"/>
        <v>50000</v>
      </c>
      <c r="S21" s="95">
        <f t="shared" si="25"/>
        <v>300000</v>
      </c>
      <c r="T21" s="95">
        <v>25</v>
      </c>
      <c r="U21" s="95">
        <f t="shared" si="26"/>
        <v>250</v>
      </c>
      <c r="V21" s="95">
        <v>0</v>
      </c>
      <c r="W21" s="95">
        <f t="shared" si="27"/>
        <v>0</v>
      </c>
      <c r="X21" s="95">
        <f t="shared" si="28"/>
        <v>25</v>
      </c>
      <c r="Y21" s="95">
        <f t="shared" si="28"/>
        <v>250</v>
      </c>
      <c r="Z21" s="95">
        <v>1882430</v>
      </c>
      <c r="AA21" s="89">
        <v>0</v>
      </c>
      <c r="AB21" s="89">
        <v>50000</v>
      </c>
      <c r="AC21" s="89">
        <f t="shared" si="1"/>
        <v>2378369.5640000002</v>
      </c>
      <c r="AE21" s="89">
        <v>17</v>
      </c>
      <c r="AF21" s="89" t="s">
        <v>43</v>
      </c>
      <c r="AG21" s="94">
        <f t="shared" si="2"/>
        <v>57330</v>
      </c>
      <c r="AH21" s="94">
        <f t="shared" si="3"/>
        <v>450</v>
      </c>
      <c r="AI21" s="94">
        <f t="shared" si="4"/>
        <v>129.6</v>
      </c>
      <c r="AJ21" s="94">
        <f t="shared" si="5"/>
        <v>367.20000000000005</v>
      </c>
      <c r="AK21" s="94">
        <f t="shared" si="29"/>
        <v>0</v>
      </c>
      <c r="AL21" s="94">
        <f t="shared" si="30"/>
        <v>367.20000000000005</v>
      </c>
      <c r="AM21" s="95">
        <f t="shared" si="31"/>
        <v>53550</v>
      </c>
      <c r="AN21" s="95">
        <f t="shared" si="6"/>
        <v>0</v>
      </c>
      <c r="AO21" s="95">
        <f t="shared" si="32"/>
        <v>53550</v>
      </c>
      <c r="AP21" s="95">
        <f t="shared" si="7"/>
        <v>14175</v>
      </c>
      <c r="AQ21" s="95">
        <f t="shared" si="8"/>
        <v>0</v>
      </c>
      <c r="AR21" s="95">
        <f t="shared" si="33"/>
        <v>14175</v>
      </c>
      <c r="AS21" s="89">
        <f t="shared" si="9"/>
        <v>3576617</v>
      </c>
      <c r="AT21" s="89">
        <v>0</v>
      </c>
      <c r="AU21" s="89">
        <v>0</v>
      </c>
      <c r="AV21" s="89">
        <f t="shared" si="34"/>
        <v>3702618.8</v>
      </c>
      <c r="AW21" s="89">
        <v>17</v>
      </c>
      <c r="AX21" s="89" t="s">
        <v>43</v>
      </c>
      <c r="AY21" s="94">
        <f t="shared" si="35"/>
        <v>3387.6480000000001</v>
      </c>
      <c r="AZ21" s="94">
        <f t="shared" si="35"/>
        <v>53.88</v>
      </c>
      <c r="BA21" s="94">
        <f t="shared" si="35"/>
        <v>7.933536000000001</v>
      </c>
      <c r="BB21" s="94">
        <f t="shared" si="35"/>
        <v>47.088000000000001</v>
      </c>
      <c r="BC21" s="94">
        <f t="shared" si="35"/>
        <v>0</v>
      </c>
      <c r="BD21" s="94">
        <f t="shared" si="36"/>
        <v>47.088000000000001</v>
      </c>
      <c r="BE21" s="95">
        <f t="shared" si="37"/>
        <v>1200</v>
      </c>
      <c r="BF21" s="95">
        <f t="shared" si="38"/>
        <v>0</v>
      </c>
      <c r="BG21" s="95">
        <f t="shared" si="39"/>
        <v>1200</v>
      </c>
      <c r="BH21" s="95">
        <f t="shared" si="40"/>
        <v>0.6</v>
      </c>
      <c r="BI21" s="95">
        <f t="shared" si="41"/>
        <v>0</v>
      </c>
      <c r="BJ21" s="95">
        <f t="shared" si="42"/>
        <v>0.6</v>
      </c>
      <c r="BK21" s="89">
        <f t="shared" si="43"/>
        <v>7529.72</v>
      </c>
      <c r="BL21" s="89">
        <f t="shared" si="43"/>
        <v>0</v>
      </c>
      <c r="BM21" s="89">
        <f t="shared" si="43"/>
        <v>200</v>
      </c>
      <c r="BN21" s="89">
        <f t="shared" si="44"/>
        <v>12426.869536000002</v>
      </c>
      <c r="BO21" s="96">
        <f t="shared" si="10"/>
        <v>4537.5640000000003</v>
      </c>
      <c r="BP21" s="97">
        <f t="shared" si="45"/>
        <v>0.94680000000000009</v>
      </c>
      <c r="BQ21" s="89">
        <v>17</v>
      </c>
      <c r="BR21" s="89" t="s">
        <v>43</v>
      </c>
      <c r="BS21" s="94">
        <f t="shared" si="11"/>
        <v>229635</v>
      </c>
      <c r="BT21" s="94">
        <f t="shared" si="12"/>
        <v>850.5</v>
      </c>
      <c r="BU21" s="94">
        <f t="shared" si="13"/>
        <v>162</v>
      </c>
      <c r="BV21" s="94">
        <f t="shared" si="14"/>
        <v>165.24000000000004</v>
      </c>
      <c r="BW21" s="94">
        <v>0</v>
      </c>
      <c r="BX21" s="94">
        <f t="shared" si="46"/>
        <v>165.24000000000004</v>
      </c>
      <c r="BY21" s="95">
        <f t="shared" si="15"/>
        <v>116875</v>
      </c>
      <c r="BZ21" s="95">
        <f t="shared" si="16"/>
        <v>0</v>
      </c>
      <c r="CA21" s="95">
        <f t="shared" si="47"/>
        <v>116875</v>
      </c>
      <c r="CB21" s="95">
        <f t="shared" si="17"/>
        <v>600</v>
      </c>
      <c r="CC21" s="95">
        <f t="shared" si="18"/>
        <v>0</v>
      </c>
      <c r="CD21" s="95">
        <f t="shared" si="48"/>
        <v>600</v>
      </c>
      <c r="CE21" s="89">
        <v>0</v>
      </c>
      <c r="CF21" s="89">
        <v>0</v>
      </c>
      <c r="CG21" s="89">
        <v>826000</v>
      </c>
      <c r="CH21" s="89">
        <f t="shared" si="49"/>
        <v>1174287.74</v>
      </c>
      <c r="CI21" s="89">
        <v>17</v>
      </c>
      <c r="CJ21" s="89" t="s">
        <v>43</v>
      </c>
      <c r="CK21" s="98">
        <f t="shared" si="19"/>
        <v>70.575999999999993</v>
      </c>
      <c r="CL21" s="98">
        <f t="shared" si="19"/>
        <v>1.1225000000000001</v>
      </c>
      <c r="CM21" s="98">
        <f t="shared" si="19"/>
        <v>0.16528200000000001</v>
      </c>
      <c r="CN21" s="98">
        <f t="shared" si="50"/>
        <v>1.962</v>
      </c>
      <c r="CO21" s="98">
        <f t="shared" si="50"/>
        <v>0</v>
      </c>
      <c r="CP21" s="94">
        <f t="shared" si="51"/>
        <v>1.962</v>
      </c>
      <c r="CQ21" s="98">
        <f t="shared" si="20"/>
        <v>25</v>
      </c>
      <c r="CR21" s="98">
        <f t="shared" si="21"/>
        <v>0</v>
      </c>
      <c r="CS21" s="95">
        <f t="shared" si="52"/>
        <v>25</v>
      </c>
      <c r="CT21" s="98">
        <f t="shared" si="53"/>
        <v>2.5</v>
      </c>
      <c r="CU21" s="98">
        <f t="shared" si="54"/>
        <v>0</v>
      </c>
      <c r="CV21" s="95">
        <f t="shared" si="55"/>
        <v>2.5</v>
      </c>
      <c r="CW21" s="89">
        <f t="shared" si="56"/>
        <v>23.530374999999999</v>
      </c>
      <c r="CX21" s="89"/>
      <c r="CY21" s="89"/>
      <c r="CZ21" s="89">
        <f t="shared" si="57"/>
        <v>124.856157</v>
      </c>
      <c r="DA21" s="89">
        <f t="shared" si="58"/>
        <v>101.325782</v>
      </c>
    </row>
    <row r="22" spans="1:105" s="96" customFormat="1" ht="26.25" x14ac:dyDescent="0.7">
      <c r="A22" s="89">
        <v>18</v>
      </c>
      <c r="B22" s="89" t="s">
        <v>44</v>
      </c>
      <c r="C22" s="90">
        <v>175</v>
      </c>
      <c r="D22" s="90">
        <f t="shared" si="22"/>
        <v>122500</v>
      </c>
      <c r="E22" s="90">
        <f>$C22*250*0.5</f>
        <v>21875</v>
      </c>
      <c r="F22" s="90">
        <f>$C22*50*1</f>
        <v>8750</v>
      </c>
      <c r="G22" s="90">
        <f>$C22*20*0.01</f>
        <v>35</v>
      </c>
      <c r="H22" s="91">
        <v>27352</v>
      </c>
      <c r="I22" s="99">
        <v>6523</v>
      </c>
      <c r="J22" s="93">
        <v>516.87299999999993</v>
      </c>
      <c r="K22" s="99">
        <v>85</v>
      </c>
      <c r="L22" s="95">
        <v>0</v>
      </c>
      <c r="M22" s="94">
        <f t="shared" si="0"/>
        <v>85</v>
      </c>
      <c r="N22" s="95">
        <v>0</v>
      </c>
      <c r="O22" s="95">
        <f t="shared" si="59"/>
        <v>0</v>
      </c>
      <c r="P22" s="95"/>
      <c r="Q22" s="95">
        <f t="shared" si="23"/>
        <v>0</v>
      </c>
      <c r="R22" s="95">
        <f t="shared" si="24"/>
        <v>0</v>
      </c>
      <c r="S22" s="95">
        <f t="shared" si="25"/>
        <v>0</v>
      </c>
      <c r="T22" s="95">
        <v>0</v>
      </c>
      <c r="U22" s="95">
        <f t="shared" si="26"/>
        <v>0</v>
      </c>
      <c r="V22" s="95">
        <v>0</v>
      </c>
      <c r="W22" s="95">
        <f t="shared" si="27"/>
        <v>0</v>
      </c>
      <c r="X22" s="95">
        <f t="shared" si="28"/>
        <v>0</v>
      </c>
      <c r="Y22" s="95">
        <f t="shared" si="28"/>
        <v>0</v>
      </c>
      <c r="Z22" s="95">
        <v>3076694</v>
      </c>
      <c r="AA22" s="89">
        <v>0</v>
      </c>
      <c r="AB22" s="89">
        <v>0</v>
      </c>
      <c r="AC22" s="89">
        <f t="shared" si="1"/>
        <v>3111170.8730000001</v>
      </c>
      <c r="AE22" s="89">
        <v>18</v>
      </c>
      <c r="AF22" s="89" t="s">
        <v>44</v>
      </c>
      <c r="AG22" s="94">
        <f t="shared" si="2"/>
        <v>55737.5</v>
      </c>
      <c r="AH22" s="94">
        <f t="shared" si="3"/>
        <v>21875</v>
      </c>
      <c r="AI22" s="94">
        <f t="shared" si="4"/>
        <v>12600</v>
      </c>
      <c r="AJ22" s="94">
        <f t="shared" si="5"/>
        <v>119.00000000000001</v>
      </c>
      <c r="AK22" s="94">
        <f t="shared" si="29"/>
        <v>0</v>
      </c>
      <c r="AL22" s="94">
        <f t="shared" si="30"/>
        <v>119.00000000000001</v>
      </c>
      <c r="AM22" s="95">
        <f t="shared" si="31"/>
        <v>0</v>
      </c>
      <c r="AN22" s="95">
        <f t="shared" si="6"/>
        <v>0</v>
      </c>
      <c r="AO22" s="95">
        <f t="shared" si="32"/>
        <v>0</v>
      </c>
      <c r="AP22" s="95">
        <f t="shared" si="7"/>
        <v>0</v>
      </c>
      <c r="AQ22" s="95">
        <f t="shared" si="8"/>
        <v>0</v>
      </c>
      <c r="AR22" s="95">
        <f t="shared" si="33"/>
        <v>0</v>
      </c>
      <c r="AS22" s="89">
        <f t="shared" si="9"/>
        <v>5845718.5999999996</v>
      </c>
      <c r="AT22" s="89">
        <v>0</v>
      </c>
      <c r="AU22" s="89">
        <v>0</v>
      </c>
      <c r="AV22" s="89">
        <f t="shared" si="34"/>
        <v>5936050.0999999996</v>
      </c>
      <c r="AW22" s="89">
        <v>18</v>
      </c>
      <c r="AX22" s="89" t="s">
        <v>44</v>
      </c>
      <c r="AY22" s="94">
        <f t="shared" si="35"/>
        <v>656.44799999999998</v>
      </c>
      <c r="AZ22" s="94">
        <f t="shared" si="35"/>
        <v>156.55199999999999</v>
      </c>
      <c r="BA22" s="94">
        <f t="shared" si="35"/>
        <v>12.404951999999998</v>
      </c>
      <c r="BB22" s="94">
        <f t="shared" si="35"/>
        <v>2.04</v>
      </c>
      <c r="BC22" s="94">
        <f t="shared" si="35"/>
        <v>0</v>
      </c>
      <c r="BD22" s="94">
        <f t="shared" si="36"/>
        <v>2.04</v>
      </c>
      <c r="BE22" s="95">
        <f t="shared" si="37"/>
        <v>0</v>
      </c>
      <c r="BF22" s="95">
        <f t="shared" si="38"/>
        <v>0</v>
      </c>
      <c r="BG22" s="95">
        <f t="shared" si="39"/>
        <v>0</v>
      </c>
      <c r="BH22" s="95">
        <f t="shared" si="40"/>
        <v>0</v>
      </c>
      <c r="BI22" s="95">
        <f t="shared" si="41"/>
        <v>0</v>
      </c>
      <c r="BJ22" s="95">
        <f t="shared" si="42"/>
        <v>0</v>
      </c>
      <c r="BK22" s="89">
        <f t="shared" si="43"/>
        <v>12306.776</v>
      </c>
      <c r="BL22" s="89">
        <f t="shared" si="43"/>
        <v>0</v>
      </c>
      <c r="BM22" s="89">
        <f t="shared" si="43"/>
        <v>0</v>
      </c>
      <c r="BN22" s="89">
        <f t="shared" si="44"/>
        <v>13134.220952</v>
      </c>
      <c r="BO22" s="96">
        <f t="shared" si="10"/>
        <v>7124.8729999999996</v>
      </c>
      <c r="BP22" s="97">
        <f t="shared" si="45"/>
        <v>34.594000000000001</v>
      </c>
      <c r="BQ22" s="89">
        <v>18</v>
      </c>
      <c r="BR22" s="89" t="s">
        <v>44</v>
      </c>
      <c r="BS22" s="94">
        <f t="shared" si="11"/>
        <v>223256.25</v>
      </c>
      <c r="BT22" s="94">
        <f t="shared" si="12"/>
        <v>41343.75</v>
      </c>
      <c r="BU22" s="94">
        <f t="shared" si="13"/>
        <v>15750</v>
      </c>
      <c r="BV22" s="94">
        <f t="shared" si="14"/>
        <v>53.550000000000004</v>
      </c>
      <c r="BW22" s="94">
        <v>0</v>
      </c>
      <c r="BX22" s="94">
        <f t="shared" si="46"/>
        <v>53.550000000000004</v>
      </c>
      <c r="BY22" s="95">
        <f t="shared" si="15"/>
        <v>0</v>
      </c>
      <c r="BZ22" s="95">
        <f t="shared" si="16"/>
        <v>0</v>
      </c>
      <c r="CA22" s="95">
        <f t="shared" si="47"/>
        <v>0</v>
      </c>
      <c r="CB22" s="95">
        <f t="shared" si="17"/>
        <v>0</v>
      </c>
      <c r="CC22" s="95">
        <f t="shared" si="18"/>
        <v>0</v>
      </c>
      <c r="CD22" s="95">
        <f t="shared" si="48"/>
        <v>0</v>
      </c>
      <c r="CE22" s="89">
        <v>0</v>
      </c>
      <c r="CF22" s="89">
        <v>0</v>
      </c>
      <c r="CG22" s="89">
        <v>0</v>
      </c>
      <c r="CH22" s="89">
        <f t="shared" si="49"/>
        <v>280403.55</v>
      </c>
      <c r="CI22" s="89">
        <v>18</v>
      </c>
      <c r="CJ22" s="89" t="s">
        <v>44</v>
      </c>
      <c r="CK22" s="98">
        <f t="shared" si="19"/>
        <v>13.676</v>
      </c>
      <c r="CL22" s="98">
        <f t="shared" si="19"/>
        <v>3.2614999999999998</v>
      </c>
      <c r="CM22" s="98">
        <f t="shared" si="19"/>
        <v>0.25843649999999996</v>
      </c>
      <c r="CN22" s="98">
        <f t="shared" si="50"/>
        <v>8.5000000000000006E-2</v>
      </c>
      <c r="CO22" s="98">
        <f t="shared" si="50"/>
        <v>0</v>
      </c>
      <c r="CP22" s="94">
        <f t="shared" si="51"/>
        <v>8.5000000000000006E-2</v>
      </c>
      <c r="CQ22" s="98">
        <f t="shared" si="20"/>
        <v>0</v>
      </c>
      <c r="CR22" s="98">
        <f t="shared" si="21"/>
        <v>0</v>
      </c>
      <c r="CS22" s="95">
        <f t="shared" si="52"/>
        <v>0</v>
      </c>
      <c r="CT22" s="98">
        <f t="shared" si="53"/>
        <v>0</v>
      </c>
      <c r="CU22" s="98">
        <f t="shared" si="54"/>
        <v>0</v>
      </c>
      <c r="CV22" s="95">
        <f t="shared" si="55"/>
        <v>0</v>
      </c>
      <c r="CW22" s="89">
        <f t="shared" si="56"/>
        <v>38.458674999999999</v>
      </c>
      <c r="CX22" s="89"/>
      <c r="CY22" s="89"/>
      <c r="CZ22" s="89">
        <f t="shared" si="57"/>
        <v>55.739611499999995</v>
      </c>
      <c r="DA22" s="89">
        <f t="shared" si="58"/>
        <v>17.280936499999996</v>
      </c>
    </row>
    <row r="23" spans="1:105" s="96" customFormat="1" ht="26.25" x14ac:dyDescent="0.7">
      <c r="A23" s="89">
        <v>19</v>
      </c>
      <c r="B23" s="89" t="s">
        <v>45</v>
      </c>
      <c r="C23" s="90">
        <v>200</v>
      </c>
      <c r="D23" s="90">
        <f t="shared" si="22"/>
        <v>140000</v>
      </c>
      <c r="E23" s="90">
        <f>$C23*250*0.3</f>
        <v>15000</v>
      </c>
      <c r="F23" s="90">
        <f>$C23*50*0.3</f>
        <v>3000</v>
      </c>
      <c r="G23" s="90">
        <f>$C23*20*0.05</f>
        <v>200</v>
      </c>
      <c r="H23" s="91">
        <v>237815</v>
      </c>
      <c r="I23" s="99">
        <v>2172</v>
      </c>
      <c r="J23" s="93">
        <v>671.39699999999993</v>
      </c>
      <c r="K23" s="99">
        <v>216</v>
      </c>
      <c r="L23" s="95">
        <v>0</v>
      </c>
      <c r="M23" s="94">
        <f t="shared" si="0"/>
        <v>216</v>
      </c>
      <c r="N23" s="95">
        <v>0</v>
      </c>
      <c r="O23" s="95">
        <v>25000</v>
      </c>
      <c r="P23" s="95"/>
      <c r="Q23" s="95">
        <f t="shared" si="23"/>
        <v>0</v>
      </c>
      <c r="R23" s="95">
        <f t="shared" si="24"/>
        <v>0</v>
      </c>
      <c r="S23" s="95">
        <f t="shared" si="25"/>
        <v>25000</v>
      </c>
      <c r="T23" s="95">
        <v>0</v>
      </c>
      <c r="U23" s="95">
        <f t="shared" si="26"/>
        <v>0</v>
      </c>
      <c r="V23" s="95">
        <v>30</v>
      </c>
      <c r="W23" s="95">
        <v>100</v>
      </c>
      <c r="X23" s="95">
        <f t="shared" si="28"/>
        <v>30</v>
      </c>
      <c r="Y23" s="95">
        <f t="shared" si="28"/>
        <v>100</v>
      </c>
      <c r="Z23" s="95">
        <v>1494700</v>
      </c>
      <c r="AA23" s="89">
        <v>0</v>
      </c>
      <c r="AB23" s="89">
        <v>0</v>
      </c>
      <c r="AC23" s="89">
        <f t="shared" si="1"/>
        <v>1760674.3969999999</v>
      </c>
      <c r="AE23" s="89">
        <v>19</v>
      </c>
      <c r="AF23" s="89" t="s">
        <v>45</v>
      </c>
      <c r="AG23" s="94">
        <f t="shared" si="2"/>
        <v>63700</v>
      </c>
      <c r="AH23" s="94">
        <f t="shared" si="3"/>
        <v>15000</v>
      </c>
      <c r="AI23" s="94">
        <f t="shared" si="4"/>
        <v>4320</v>
      </c>
      <c r="AJ23" s="94">
        <f t="shared" si="5"/>
        <v>680</v>
      </c>
      <c r="AK23" s="94">
        <f t="shared" si="29"/>
        <v>0</v>
      </c>
      <c r="AL23" s="94">
        <f t="shared" si="30"/>
        <v>680</v>
      </c>
      <c r="AM23" s="95">
        <f t="shared" si="31"/>
        <v>3825</v>
      </c>
      <c r="AN23" s="95">
        <f t="shared" si="6"/>
        <v>0</v>
      </c>
      <c r="AO23" s="95">
        <f t="shared" si="32"/>
        <v>3825</v>
      </c>
      <c r="AP23" s="95">
        <f t="shared" si="7"/>
        <v>0</v>
      </c>
      <c r="AQ23" s="95">
        <f t="shared" si="8"/>
        <v>5810</v>
      </c>
      <c r="AR23" s="95">
        <f t="shared" si="33"/>
        <v>5810</v>
      </c>
      <c r="AS23" s="89">
        <f t="shared" si="9"/>
        <v>2839930</v>
      </c>
      <c r="AT23" s="89">
        <v>0</v>
      </c>
      <c r="AU23" s="89">
        <v>0</v>
      </c>
      <c r="AV23" s="89">
        <f t="shared" si="34"/>
        <v>2933265</v>
      </c>
      <c r="AW23" s="89">
        <v>19</v>
      </c>
      <c r="AX23" s="89" t="s">
        <v>45</v>
      </c>
      <c r="AY23" s="94">
        <f t="shared" si="35"/>
        <v>5707.56</v>
      </c>
      <c r="AZ23" s="94">
        <f t="shared" si="35"/>
        <v>52.128</v>
      </c>
      <c r="BA23" s="94">
        <f t="shared" si="35"/>
        <v>16.113527999999999</v>
      </c>
      <c r="BB23" s="94">
        <f t="shared" si="35"/>
        <v>5.1840000000000002</v>
      </c>
      <c r="BC23" s="94">
        <f t="shared" si="35"/>
        <v>0</v>
      </c>
      <c r="BD23" s="94">
        <f t="shared" si="36"/>
        <v>5.1840000000000002</v>
      </c>
      <c r="BE23" s="95">
        <f t="shared" si="37"/>
        <v>0</v>
      </c>
      <c r="BF23" s="95">
        <f t="shared" si="38"/>
        <v>0</v>
      </c>
      <c r="BG23" s="95">
        <f t="shared" si="39"/>
        <v>0</v>
      </c>
      <c r="BH23" s="95">
        <f t="shared" si="40"/>
        <v>0</v>
      </c>
      <c r="BI23" s="95">
        <f t="shared" si="41"/>
        <v>0.72</v>
      </c>
      <c r="BJ23" s="95">
        <f t="shared" si="42"/>
        <v>0.72</v>
      </c>
      <c r="BK23" s="89">
        <f t="shared" si="43"/>
        <v>5978.8</v>
      </c>
      <c r="BL23" s="89">
        <f t="shared" si="43"/>
        <v>0</v>
      </c>
      <c r="BM23" s="89">
        <f t="shared" si="43"/>
        <v>0</v>
      </c>
      <c r="BN23" s="89">
        <f t="shared" si="44"/>
        <v>11760.505528000002</v>
      </c>
      <c r="BO23" s="96">
        <f t="shared" si="10"/>
        <v>3059.3969999999999</v>
      </c>
      <c r="BP23" s="97">
        <f t="shared" si="45"/>
        <v>20</v>
      </c>
      <c r="BQ23" s="89">
        <v>19</v>
      </c>
      <c r="BR23" s="89" t="s">
        <v>45</v>
      </c>
      <c r="BS23" s="94">
        <f t="shared" si="11"/>
        <v>255150</v>
      </c>
      <c r="BT23" s="94">
        <f t="shared" si="12"/>
        <v>28350</v>
      </c>
      <c r="BU23" s="94">
        <f t="shared" si="13"/>
        <v>5400</v>
      </c>
      <c r="BV23" s="94">
        <f t="shared" si="14"/>
        <v>306</v>
      </c>
      <c r="BW23" s="94">
        <v>0</v>
      </c>
      <c r="BX23" s="94">
        <f t="shared" si="46"/>
        <v>306</v>
      </c>
      <c r="BY23" s="95">
        <f t="shared" si="15"/>
        <v>0</v>
      </c>
      <c r="BZ23" s="95">
        <f t="shared" si="16"/>
        <v>0</v>
      </c>
      <c r="CA23" s="95">
        <f t="shared" si="47"/>
        <v>0</v>
      </c>
      <c r="CB23" s="95">
        <f t="shared" si="17"/>
        <v>0</v>
      </c>
      <c r="CC23" s="95">
        <f t="shared" si="18"/>
        <v>720</v>
      </c>
      <c r="CD23" s="95">
        <f t="shared" si="48"/>
        <v>720</v>
      </c>
      <c r="CE23" s="89">
        <v>0</v>
      </c>
      <c r="CF23" s="89">
        <v>0</v>
      </c>
      <c r="CG23" s="89">
        <v>0</v>
      </c>
      <c r="CH23" s="89">
        <f t="shared" si="49"/>
        <v>289926</v>
      </c>
      <c r="CI23" s="89">
        <v>19</v>
      </c>
      <c r="CJ23" s="89" t="s">
        <v>45</v>
      </c>
      <c r="CK23" s="98">
        <f t="shared" si="19"/>
        <v>118.9075</v>
      </c>
      <c r="CL23" s="98">
        <f t="shared" si="19"/>
        <v>1.0860000000000001</v>
      </c>
      <c r="CM23" s="98">
        <f t="shared" si="19"/>
        <v>0.33569849999999996</v>
      </c>
      <c r="CN23" s="98">
        <f t="shared" si="50"/>
        <v>0.216</v>
      </c>
      <c r="CO23" s="98">
        <f t="shared" si="50"/>
        <v>0</v>
      </c>
      <c r="CP23" s="94">
        <f t="shared" si="51"/>
        <v>0.216</v>
      </c>
      <c r="CQ23" s="98">
        <f t="shared" si="20"/>
        <v>0</v>
      </c>
      <c r="CR23" s="98">
        <f t="shared" si="21"/>
        <v>0</v>
      </c>
      <c r="CS23" s="95">
        <f t="shared" si="52"/>
        <v>0</v>
      </c>
      <c r="CT23" s="98">
        <f t="shared" si="53"/>
        <v>0</v>
      </c>
      <c r="CU23" s="98">
        <f t="shared" si="54"/>
        <v>1.5</v>
      </c>
      <c r="CV23" s="95">
        <f t="shared" si="55"/>
        <v>1.5</v>
      </c>
      <c r="CW23" s="89">
        <f t="shared" si="56"/>
        <v>18.68375</v>
      </c>
      <c r="CX23" s="89"/>
      <c r="CY23" s="89"/>
      <c r="CZ23" s="89">
        <f t="shared" si="57"/>
        <v>140.7289485</v>
      </c>
      <c r="DA23" s="89">
        <f t="shared" si="58"/>
        <v>120.5451985</v>
      </c>
    </row>
    <row r="24" spans="1:105" s="96" customFormat="1" ht="26.25" x14ac:dyDescent="0.7">
      <c r="A24" s="89">
        <v>20</v>
      </c>
      <c r="B24" s="89" t="s">
        <v>46</v>
      </c>
      <c r="C24" s="90">
        <v>186</v>
      </c>
      <c r="D24" s="90">
        <f t="shared" si="22"/>
        <v>130200</v>
      </c>
      <c r="E24" s="90">
        <f>$C24*250*0.01</f>
        <v>465</v>
      </c>
      <c r="F24" s="90">
        <f>$C24*50*0.01</f>
        <v>93</v>
      </c>
      <c r="G24" s="90">
        <f>$C24*20*0.05</f>
        <v>186</v>
      </c>
      <c r="H24" s="91">
        <v>100660</v>
      </c>
      <c r="I24" s="99">
        <v>2736</v>
      </c>
      <c r="J24" s="93">
        <v>392.178</v>
      </c>
      <c r="K24" s="99">
        <v>677</v>
      </c>
      <c r="L24" s="95">
        <v>0</v>
      </c>
      <c r="M24" s="94">
        <f t="shared" si="0"/>
        <v>677</v>
      </c>
      <c r="N24" s="95">
        <v>1000</v>
      </c>
      <c r="O24" s="95">
        <f t="shared" si="59"/>
        <v>6000</v>
      </c>
      <c r="P24" s="95"/>
      <c r="Q24" s="95">
        <f t="shared" si="23"/>
        <v>0</v>
      </c>
      <c r="R24" s="95">
        <f t="shared" si="24"/>
        <v>1000</v>
      </c>
      <c r="S24" s="95">
        <f t="shared" si="25"/>
        <v>6000</v>
      </c>
      <c r="T24" s="95">
        <v>0</v>
      </c>
      <c r="U24" s="95">
        <f t="shared" si="26"/>
        <v>0</v>
      </c>
      <c r="V24" s="95">
        <v>0</v>
      </c>
      <c r="W24" s="95">
        <f t="shared" si="27"/>
        <v>0</v>
      </c>
      <c r="X24" s="95">
        <f t="shared" si="28"/>
        <v>0</v>
      </c>
      <c r="Y24" s="95">
        <f t="shared" si="28"/>
        <v>0</v>
      </c>
      <c r="Z24" s="95">
        <v>954580</v>
      </c>
      <c r="AA24" s="89">
        <v>0</v>
      </c>
      <c r="AB24" s="89">
        <v>0</v>
      </c>
      <c r="AC24" s="89">
        <f t="shared" si="1"/>
        <v>1065045.1780000001</v>
      </c>
      <c r="AE24" s="89">
        <v>20</v>
      </c>
      <c r="AF24" s="89" t="s">
        <v>46</v>
      </c>
      <c r="AG24" s="94">
        <f t="shared" si="2"/>
        <v>59241</v>
      </c>
      <c r="AH24" s="94">
        <f t="shared" si="3"/>
        <v>465</v>
      </c>
      <c r="AI24" s="94">
        <f t="shared" si="4"/>
        <v>133.92000000000002</v>
      </c>
      <c r="AJ24" s="94">
        <f t="shared" si="5"/>
        <v>632.40000000000009</v>
      </c>
      <c r="AK24" s="94">
        <f t="shared" si="29"/>
        <v>0</v>
      </c>
      <c r="AL24" s="94">
        <f t="shared" si="30"/>
        <v>632.40000000000009</v>
      </c>
      <c r="AM24" s="95">
        <f t="shared" si="31"/>
        <v>1071</v>
      </c>
      <c r="AN24" s="95">
        <f t="shared" si="6"/>
        <v>0</v>
      </c>
      <c r="AO24" s="95">
        <f t="shared" si="32"/>
        <v>1071</v>
      </c>
      <c r="AP24" s="95">
        <f t="shared" si="7"/>
        <v>0</v>
      </c>
      <c r="AQ24" s="95">
        <f t="shared" si="8"/>
        <v>0</v>
      </c>
      <c r="AR24" s="95">
        <f t="shared" si="33"/>
        <v>0</v>
      </c>
      <c r="AS24" s="89">
        <f t="shared" si="9"/>
        <v>1813702</v>
      </c>
      <c r="AT24" s="89">
        <v>0</v>
      </c>
      <c r="AU24" s="89">
        <v>0</v>
      </c>
      <c r="AV24" s="89">
        <f t="shared" si="34"/>
        <v>1875245.32</v>
      </c>
      <c r="AW24" s="89">
        <v>20</v>
      </c>
      <c r="AX24" s="89" t="s">
        <v>46</v>
      </c>
      <c r="AY24" s="94">
        <f t="shared" si="35"/>
        <v>2415.84</v>
      </c>
      <c r="AZ24" s="94">
        <f t="shared" si="35"/>
        <v>65.664000000000001</v>
      </c>
      <c r="BA24" s="94">
        <f t="shared" si="35"/>
        <v>9.4122719999999997</v>
      </c>
      <c r="BB24" s="94">
        <f t="shared" si="35"/>
        <v>16.248000000000001</v>
      </c>
      <c r="BC24" s="94">
        <f t="shared" si="35"/>
        <v>0</v>
      </c>
      <c r="BD24" s="94">
        <f t="shared" si="36"/>
        <v>16.248000000000001</v>
      </c>
      <c r="BE24" s="95">
        <f t="shared" si="37"/>
        <v>24</v>
      </c>
      <c r="BF24" s="95">
        <f t="shared" si="38"/>
        <v>0</v>
      </c>
      <c r="BG24" s="95">
        <f t="shared" si="39"/>
        <v>24</v>
      </c>
      <c r="BH24" s="95">
        <f t="shared" si="40"/>
        <v>0</v>
      </c>
      <c r="BI24" s="95">
        <f t="shared" si="41"/>
        <v>0</v>
      </c>
      <c r="BJ24" s="95">
        <f t="shared" si="42"/>
        <v>0</v>
      </c>
      <c r="BK24" s="89">
        <f t="shared" si="43"/>
        <v>3818.32</v>
      </c>
      <c r="BL24" s="89">
        <f t="shared" si="43"/>
        <v>0</v>
      </c>
      <c r="BM24" s="89">
        <f t="shared" si="43"/>
        <v>0</v>
      </c>
      <c r="BN24" s="89">
        <f t="shared" si="44"/>
        <v>6349.4842720000006</v>
      </c>
      <c r="BO24" s="96">
        <f t="shared" si="10"/>
        <v>3805.1779999999999</v>
      </c>
      <c r="BP24" s="97">
        <f t="shared" si="45"/>
        <v>1.2313200000000002</v>
      </c>
      <c r="BQ24" s="89">
        <v>20</v>
      </c>
      <c r="BR24" s="89" t="s">
        <v>46</v>
      </c>
      <c r="BS24" s="94">
        <f t="shared" si="11"/>
        <v>237289.5</v>
      </c>
      <c r="BT24" s="94">
        <f t="shared" si="12"/>
        <v>878.85</v>
      </c>
      <c r="BU24" s="94">
        <f t="shared" si="13"/>
        <v>167.4</v>
      </c>
      <c r="BV24" s="94">
        <f t="shared" si="14"/>
        <v>284.58000000000004</v>
      </c>
      <c r="BW24" s="94">
        <v>0</v>
      </c>
      <c r="BX24" s="94">
        <f t="shared" si="46"/>
        <v>284.58000000000004</v>
      </c>
      <c r="BY24" s="95">
        <f t="shared" si="15"/>
        <v>2337.5</v>
      </c>
      <c r="BZ24" s="95">
        <f t="shared" si="16"/>
        <v>0</v>
      </c>
      <c r="CA24" s="95">
        <f t="shared" si="47"/>
        <v>2337.5</v>
      </c>
      <c r="CB24" s="95">
        <f t="shared" si="17"/>
        <v>0</v>
      </c>
      <c r="CC24" s="95">
        <f t="shared" si="18"/>
        <v>0</v>
      </c>
      <c r="CD24" s="95">
        <f t="shared" si="48"/>
        <v>0</v>
      </c>
      <c r="CE24" s="89">
        <v>0</v>
      </c>
      <c r="CF24" s="89">
        <v>0</v>
      </c>
      <c r="CG24" s="89">
        <v>0</v>
      </c>
      <c r="CH24" s="89">
        <f t="shared" si="49"/>
        <v>240957.83</v>
      </c>
      <c r="CI24" s="89">
        <v>20</v>
      </c>
      <c r="CJ24" s="89" t="s">
        <v>46</v>
      </c>
      <c r="CK24" s="98">
        <f t="shared" si="19"/>
        <v>50.33</v>
      </c>
      <c r="CL24" s="98">
        <f t="shared" si="19"/>
        <v>1.3680000000000001</v>
      </c>
      <c r="CM24" s="98">
        <f t="shared" si="19"/>
        <v>0.19608899999999999</v>
      </c>
      <c r="CN24" s="98">
        <f t="shared" si="50"/>
        <v>0.67700000000000005</v>
      </c>
      <c r="CO24" s="98">
        <f t="shared" si="50"/>
        <v>0</v>
      </c>
      <c r="CP24" s="94">
        <f t="shared" si="51"/>
        <v>0.67700000000000005</v>
      </c>
      <c r="CQ24" s="98">
        <f t="shared" si="20"/>
        <v>0.5</v>
      </c>
      <c r="CR24" s="98">
        <f t="shared" si="21"/>
        <v>0</v>
      </c>
      <c r="CS24" s="95">
        <f t="shared" si="52"/>
        <v>0.5</v>
      </c>
      <c r="CT24" s="98">
        <f t="shared" si="53"/>
        <v>0</v>
      </c>
      <c r="CU24" s="98">
        <f t="shared" si="54"/>
        <v>0</v>
      </c>
      <c r="CV24" s="95">
        <f t="shared" si="55"/>
        <v>0</v>
      </c>
      <c r="CW24" s="89">
        <f t="shared" si="56"/>
        <v>11.93225</v>
      </c>
      <c r="CX24" s="89"/>
      <c r="CY24" s="89"/>
      <c r="CZ24" s="89">
        <f t="shared" si="57"/>
        <v>65.003338999999997</v>
      </c>
      <c r="DA24" s="89">
        <f t="shared" si="58"/>
        <v>53.071089000000001</v>
      </c>
    </row>
    <row r="25" spans="1:105" s="96" customFormat="1" ht="26.25" x14ac:dyDescent="0.7">
      <c r="A25" s="89">
        <v>21</v>
      </c>
      <c r="B25" s="89" t="s">
        <v>47</v>
      </c>
      <c r="C25" s="90">
        <v>0</v>
      </c>
      <c r="D25" s="90">
        <f t="shared" si="22"/>
        <v>0</v>
      </c>
      <c r="E25" s="90">
        <f>$C25*250*1</f>
        <v>0</v>
      </c>
      <c r="F25" s="90">
        <f>$C25*50*1</f>
        <v>0</v>
      </c>
      <c r="G25" s="90">
        <f>$C25*20*1</f>
        <v>0</v>
      </c>
      <c r="H25" s="91">
        <v>38668</v>
      </c>
      <c r="I25" s="99">
        <v>4743</v>
      </c>
      <c r="J25" s="93">
        <v>1105.6289999999999</v>
      </c>
      <c r="K25" s="99">
        <v>270</v>
      </c>
      <c r="L25" s="95">
        <v>0</v>
      </c>
      <c r="M25" s="94">
        <f t="shared" si="0"/>
        <v>270</v>
      </c>
      <c r="N25" s="95">
        <v>5000</v>
      </c>
      <c r="O25" s="95">
        <f t="shared" si="59"/>
        <v>30000</v>
      </c>
      <c r="P25" s="95"/>
      <c r="Q25" s="95">
        <f t="shared" si="23"/>
        <v>0</v>
      </c>
      <c r="R25" s="95">
        <f t="shared" si="24"/>
        <v>5000</v>
      </c>
      <c r="S25" s="95">
        <f t="shared" si="25"/>
        <v>30000</v>
      </c>
      <c r="T25" s="95">
        <v>0</v>
      </c>
      <c r="U25" s="95">
        <f t="shared" si="26"/>
        <v>0</v>
      </c>
      <c r="V25" s="95">
        <v>0</v>
      </c>
      <c r="W25" s="95">
        <f t="shared" si="27"/>
        <v>0</v>
      </c>
      <c r="X25" s="95">
        <f t="shared" si="28"/>
        <v>0</v>
      </c>
      <c r="Y25" s="95">
        <f t="shared" si="28"/>
        <v>0</v>
      </c>
      <c r="Z25" s="95">
        <v>571415</v>
      </c>
      <c r="AA25" s="89">
        <v>0</v>
      </c>
      <c r="AB25" s="89">
        <v>0</v>
      </c>
      <c r="AC25" s="89">
        <f t="shared" si="1"/>
        <v>646201.62899999996</v>
      </c>
      <c r="AE25" s="89">
        <v>21</v>
      </c>
      <c r="AF25" s="89" t="s">
        <v>47</v>
      </c>
      <c r="AG25" s="94">
        <f t="shared" si="2"/>
        <v>0</v>
      </c>
      <c r="AH25" s="94">
        <f t="shared" si="3"/>
        <v>0</v>
      </c>
      <c r="AI25" s="94">
        <f t="shared" si="4"/>
        <v>0</v>
      </c>
      <c r="AJ25" s="94">
        <f t="shared" si="5"/>
        <v>0</v>
      </c>
      <c r="AK25" s="94">
        <f t="shared" si="29"/>
        <v>0</v>
      </c>
      <c r="AL25" s="94">
        <f t="shared" si="30"/>
        <v>0</v>
      </c>
      <c r="AM25" s="95">
        <f t="shared" si="31"/>
        <v>5355</v>
      </c>
      <c r="AN25" s="95">
        <f t="shared" si="6"/>
        <v>0</v>
      </c>
      <c r="AO25" s="95">
        <f t="shared" si="32"/>
        <v>5355</v>
      </c>
      <c r="AP25" s="95">
        <f t="shared" si="7"/>
        <v>0</v>
      </c>
      <c r="AQ25" s="95">
        <f t="shared" si="8"/>
        <v>0</v>
      </c>
      <c r="AR25" s="95">
        <f t="shared" si="33"/>
        <v>0</v>
      </c>
      <c r="AS25" s="89">
        <f t="shared" si="9"/>
        <v>1085688.5</v>
      </c>
      <c r="AT25" s="89">
        <v>0</v>
      </c>
      <c r="AU25" s="89">
        <v>0</v>
      </c>
      <c r="AV25" s="89">
        <f t="shared" si="34"/>
        <v>1091043.5</v>
      </c>
      <c r="AW25" s="89">
        <v>21</v>
      </c>
      <c r="AX25" s="89" t="s">
        <v>47</v>
      </c>
      <c r="AY25" s="94">
        <f t="shared" si="35"/>
        <v>928.03200000000004</v>
      </c>
      <c r="AZ25" s="94">
        <f t="shared" si="35"/>
        <v>113.83200000000001</v>
      </c>
      <c r="BA25" s="94">
        <f t="shared" si="35"/>
        <v>26.535095999999999</v>
      </c>
      <c r="BB25" s="94">
        <f t="shared" si="35"/>
        <v>6.48</v>
      </c>
      <c r="BC25" s="94">
        <f t="shared" si="35"/>
        <v>0</v>
      </c>
      <c r="BD25" s="94">
        <f t="shared" si="36"/>
        <v>6.48</v>
      </c>
      <c r="BE25" s="95">
        <f t="shared" si="37"/>
        <v>120</v>
      </c>
      <c r="BF25" s="95">
        <f t="shared" si="38"/>
        <v>0</v>
      </c>
      <c r="BG25" s="95">
        <f t="shared" si="39"/>
        <v>120</v>
      </c>
      <c r="BH25" s="95">
        <f t="shared" si="40"/>
        <v>0</v>
      </c>
      <c r="BI25" s="95">
        <f t="shared" si="41"/>
        <v>0</v>
      </c>
      <c r="BJ25" s="95">
        <f t="shared" si="42"/>
        <v>0</v>
      </c>
      <c r="BK25" s="89">
        <f t="shared" si="43"/>
        <v>2285.66</v>
      </c>
      <c r="BL25" s="89">
        <f t="shared" si="43"/>
        <v>0</v>
      </c>
      <c r="BM25" s="89">
        <f t="shared" si="43"/>
        <v>0</v>
      </c>
      <c r="BN25" s="89">
        <f t="shared" si="44"/>
        <v>3480.539096</v>
      </c>
      <c r="BO25" s="96">
        <f t="shared" si="10"/>
        <v>6118.6289999999999</v>
      </c>
      <c r="BP25" s="97">
        <f t="shared" si="45"/>
        <v>0</v>
      </c>
      <c r="BQ25" s="89">
        <v>21</v>
      </c>
      <c r="BR25" s="89" t="s">
        <v>47</v>
      </c>
      <c r="BS25" s="94">
        <f t="shared" si="11"/>
        <v>0</v>
      </c>
      <c r="BT25" s="94">
        <f t="shared" si="12"/>
        <v>0</v>
      </c>
      <c r="BU25" s="94">
        <f t="shared" si="13"/>
        <v>0</v>
      </c>
      <c r="BV25" s="94">
        <f t="shared" si="14"/>
        <v>0</v>
      </c>
      <c r="BW25" s="94">
        <v>0</v>
      </c>
      <c r="BX25" s="94">
        <f t="shared" si="46"/>
        <v>0</v>
      </c>
      <c r="BY25" s="95">
        <f t="shared" si="15"/>
        <v>11687.5</v>
      </c>
      <c r="BZ25" s="95">
        <f t="shared" si="16"/>
        <v>0</v>
      </c>
      <c r="CA25" s="95">
        <f t="shared" si="47"/>
        <v>11687.5</v>
      </c>
      <c r="CB25" s="95">
        <f t="shared" si="17"/>
        <v>0</v>
      </c>
      <c r="CC25" s="95">
        <f t="shared" si="18"/>
        <v>0</v>
      </c>
      <c r="CD25" s="95">
        <f t="shared" si="48"/>
        <v>0</v>
      </c>
      <c r="CE25" s="89">
        <v>0</v>
      </c>
      <c r="CF25" s="89">
        <v>0</v>
      </c>
      <c r="CG25" s="89">
        <v>0</v>
      </c>
      <c r="CH25" s="89">
        <f t="shared" si="49"/>
        <v>11687.5</v>
      </c>
      <c r="CI25" s="89">
        <v>21</v>
      </c>
      <c r="CJ25" s="89" t="s">
        <v>47</v>
      </c>
      <c r="CK25" s="98">
        <f t="shared" si="19"/>
        <v>19.334</v>
      </c>
      <c r="CL25" s="98">
        <f t="shared" si="19"/>
        <v>2.3715000000000002</v>
      </c>
      <c r="CM25" s="98">
        <f t="shared" si="19"/>
        <v>0.55281449999999999</v>
      </c>
      <c r="CN25" s="98">
        <f t="shared" si="50"/>
        <v>0.27</v>
      </c>
      <c r="CO25" s="98">
        <f t="shared" si="50"/>
        <v>0</v>
      </c>
      <c r="CP25" s="94">
        <f t="shared" si="51"/>
        <v>0.27</v>
      </c>
      <c r="CQ25" s="98">
        <f t="shared" si="20"/>
        <v>2.5</v>
      </c>
      <c r="CR25" s="98">
        <f t="shared" si="21"/>
        <v>0</v>
      </c>
      <c r="CS25" s="95">
        <f t="shared" si="52"/>
        <v>2.5</v>
      </c>
      <c r="CT25" s="98">
        <f t="shared" si="53"/>
        <v>0</v>
      </c>
      <c r="CU25" s="98">
        <f t="shared" si="54"/>
        <v>0</v>
      </c>
      <c r="CV25" s="95">
        <f t="shared" si="55"/>
        <v>0</v>
      </c>
      <c r="CW25" s="89">
        <f t="shared" si="56"/>
        <v>7.1426875000000001</v>
      </c>
      <c r="CX25" s="89"/>
      <c r="CY25" s="89"/>
      <c r="CZ25" s="89">
        <f t="shared" si="57"/>
        <v>32.171002000000001</v>
      </c>
      <c r="DA25" s="89">
        <f t="shared" si="58"/>
        <v>25.0283145</v>
      </c>
    </row>
    <row r="26" spans="1:105" s="96" customFormat="1" ht="26.25" x14ac:dyDescent="0.7">
      <c r="A26" s="89">
        <v>22</v>
      </c>
      <c r="B26" s="89" t="s">
        <v>48</v>
      </c>
      <c r="C26" s="89">
        <v>64</v>
      </c>
      <c r="D26" s="90">
        <f t="shared" si="22"/>
        <v>44800</v>
      </c>
      <c r="E26" s="90">
        <f>$C26*250*0.01</f>
        <v>160</v>
      </c>
      <c r="F26" s="90">
        <f>$C26*50*0.01</f>
        <v>32</v>
      </c>
      <c r="G26" s="90">
        <f>$C26*20*0.05</f>
        <v>64</v>
      </c>
      <c r="H26" s="102">
        <v>45075</v>
      </c>
      <c r="I26" s="99">
        <v>618</v>
      </c>
      <c r="J26" s="93">
        <v>935.45699999999999</v>
      </c>
      <c r="K26" s="99">
        <v>734</v>
      </c>
      <c r="L26" s="95">
        <v>0</v>
      </c>
      <c r="M26" s="94">
        <f t="shared" si="0"/>
        <v>734</v>
      </c>
      <c r="N26" s="95">
        <v>1300</v>
      </c>
      <c r="O26" s="95">
        <f t="shared" si="59"/>
        <v>7800</v>
      </c>
      <c r="P26" s="95"/>
      <c r="Q26" s="95">
        <f t="shared" si="23"/>
        <v>0</v>
      </c>
      <c r="R26" s="95">
        <f t="shared" si="24"/>
        <v>1300</v>
      </c>
      <c r="S26" s="95">
        <f t="shared" si="25"/>
        <v>7800</v>
      </c>
      <c r="T26" s="95">
        <v>0</v>
      </c>
      <c r="U26" s="95">
        <f t="shared" si="26"/>
        <v>0</v>
      </c>
      <c r="V26" s="95">
        <v>0</v>
      </c>
      <c r="W26" s="95">
        <f t="shared" si="27"/>
        <v>0</v>
      </c>
      <c r="X26" s="95">
        <f t="shared" si="28"/>
        <v>0</v>
      </c>
      <c r="Y26" s="95">
        <f t="shared" si="28"/>
        <v>0</v>
      </c>
      <c r="Z26" s="95">
        <v>1788370</v>
      </c>
      <c r="AA26" s="89">
        <v>0</v>
      </c>
      <c r="AB26" s="89">
        <v>0</v>
      </c>
      <c r="AC26" s="89">
        <f t="shared" si="1"/>
        <v>1843532.4569999999</v>
      </c>
      <c r="AE26" s="89">
        <v>22</v>
      </c>
      <c r="AF26" s="89" t="s">
        <v>48</v>
      </c>
      <c r="AG26" s="94">
        <f t="shared" si="2"/>
        <v>20384</v>
      </c>
      <c r="AH26" s="94">
        <f t="shared" si="3"/>
        <v>160</v>
      </c>
      <c r="AI26" s="94">
        <f t="shared" si="4"/>
        <v>46.080000000000005</v>
      </c>
      <c r="AJ26" s="94">
        <f t="shared" si="5"/>
        <v>217.60000000000002</v>
      </c>
      <c r="AK26" s="94">
        <f t="shared" si="29"/>
        <v>0</v>
      </c>
      <c r="AL26" s="94">
        <f t="shared" si="30"/>
        <v>217.60000000000002</v>
      </c>
      <c r="AM26" s="95">
        <f t="shared" si="31"/>
        <v>1392.3</v>
      </c>
      <c r="AN26" s="95">
        <f t="shared" si="6"/>
        <v>0</v>
      </c>
      <c r="AO26" s="95">
        <f t="shared" si="32"/>
        <v>1392.3</v>
      </c>
      <c r="AP26" s="95">
        <f t="shared" si="7"/>
        <v>0</v>
      </c>
      <c r="AQ26" s="95">
        <f t="shared" si="8"/>
        <v>0</v>
      </c>
      <c r="AR26" s="95">
        <f t="shared" si="33"/>
        <v>0</v>
      </c>
      <c r="AS26" s="89">
        <f t="shared" si="9"/>
        <v>3397903</v>
      </c>
      <c r="AT26" s="89">
        <v>0</v>
      </c>
      <c r="AU26" s="89">
        <v>0</v>
      </c>
      <c r="AV26" s="89">
        <f t="shared" si="34"/>
        <v>3420102.98</v>
      </c>
      <c r="AW26" s="89">
        <v>22</v>
      </c>
      <c r="AX26" s="89" t="s">
        <v>48</v>
      </c>
      <c r="AY26" s="94">
        <f t="shared" si="35"/>
        <v>1081.8</v>
      </c>
      <c r="AZ26" s="94">
        <f t="shared" si="35"/>
        <v>14.832000000000001</v>
      </c>
      <c r="BA26" s="94">
        <f t="shared" si="35"/>
        <v>22.450968</v>
      </c>
      <c r="BB26" s="94">
        <f t="shared" si="35"/>
        <v>17.616</v>
      </c>
      <c r="BC26" s="94">
        <f t="shared" si="35"/>
        <v>0</v>
      </c>
      <c r="BD26" s="94">
        <f t="shared" si="36"/>
        <v>17.616</v>
      </c>
      <c r="BE26" s="95">
        <f t="shared" si="37"/>
        <v>31.2</v>
      </c>
      <c r="BF26" s="95">
        <f t="shared" si="38"/>
        <v>0</v>
      </c>
      <c r="BG26" s="95">
        <f t="shared" si="39"/>
        <v>31.2</v>
      </c>
      <c r="BH26" s="95">
        <f t="shared" si="40"/>
        <v>0</v>
      </c>
      <c r="BI26" s="95">
        <f t="shared" si="41"/>
        <v>0</v>
      </c>
      <c r="BJ26" s="95">
        <f t="shared" si="42"/>
        <v>0</v>
      </c>
      <c r="BK26" s="89">
        <f t="shared" si="43"/>
        <v>7153.4800000000005</v>
      </c>
      <c r="BL26" s="89">
        <f t="shared" si="43"/>
        <v>0</v>
      </c>
      <c r="BM26" s="89">
        <f t="shared" si="43"/>
        <v>0</v>
      </c>
      <c r="BN26" s="89">
        <f t="shared" si="44"/>
        <v>8321.3789680000009</v>
      </c>
      <c r="BO26" s="96">
        <f t="shared" si="10"/>
        <v>2287.4569999999999</v>
      </c>
      <c r="BP26" s="97">
        <f t="shared" si="45"/>
        <v>0.42368000000000006</v>
      </c>
      <c r="BQ26" s="89">
        <v>22</v>
      </c>
      <c r="BR26" s="89" t="s">
        <v>48</v>
      </c>
      <c r="BS26" s="94">
        <f t="shared" si="11"/>
        <v>81648</v>
      </c>
      <c r="BT26" s="94">
        <f t="shared" si="12"/>
        <v>302.40000000000003</v>
      </c>
      <c r="BU26" s="94">
        <f t="shared" si="13"/>
        <v>57.6</v>
      </c>
      <c r="BV26" s="94">
        <f t="shared" si="14"/>
        <v>97.920000000000016</v>
      </c>
      <c r="BW26" s="94">
        <v>0</v>
      </c>
      <c r="BX26" s="94">
        <f t="shared" si="46"/>
        <v>97.920000000000016</v>
      </c>
      <c r="BY26" s="95">
        <f t="shared" si="15"/>
        <v>3038.75</v>
      </c>
      <c r="BZ26" s="95">
        <f t="shared" si="16"/>
        <v>0</v>
      </c>
      <c r="CA26" s="95">
        <f t="shared" si="47"/>
        <v>3038.75</v>
      </c>
      <c r="CB26" s="95">
        <f t="shared" si="17"/>
        <v>0</v>
      </c>
      <c r="CC26" s="95">
        <f t="shared" si="18"/>
        <v>0</v>
      </c>
      <c r="CD26" s="95">
        <f t="shared" si="48"/>
        <v>0</v>
      </c>
      <c r="CE26" s="89">
        <v>0</v>
      </c>
      <c r="CF26" s="89">
        <v>0</v>
      </c>
      <c r="CG26" s="89">
        <v>0</v>
      </c>
      <c r="CH26" s="89">
        <f t="shared" si="49"/>
        <v>85144.67</v>
      </c>
      <c r="CI26" s="89">
        <v>22</v>
      </c>
      <c r="CJ26" s="89" t="s">
        <v>48</v>
      </c>
      <c r="CK26" s="98">
        <f t="shared" si="19"/>
        <v>22.537500000000001</v>
      </c>
      <c r="CL26" s="98">
        <f t="shared" si="19"/>
        <v>0.309</v>
      </c>
      <c r="CM26" s="98">
        <f t="shared" si="19"/>
        <v>0.46772849999999999</v>
      </c>
      <c r="CN26" s="98">
        <f t="shared" si="50"/>
        <v>0.73399999999999999</v>
      </c>
      <c r="CO26" s="98">
        <f t="shared" si="50"/>
        <v>0</v>
      </c>
      <c r="CP26" s="94">
        <f t="shared" si="51"/>
        <v>0.73399999999999999</v>
      </c>
      <c r="CQ26" s="98">
        <f t="shared" si="20"/>
        <v>0.65</v>
      </c>
      <c r="CR26" s="98">
        <f t="shared" si="21"/>
        <v>0</v>
      </c>
      <c r="CS26" s="95">
        <f t="shared" si="52"/>
        <v>0.65</v>
      </c>
      <c r="CT26" s="98">
        <f t="shared" si="53"/>
        <v>0</v>
      </c>
      <c r="CU26" s="98">
        <f t="shared" si="54"/>
        <v>0</v>
      </c>
      <c r="CV26" s="95">
        <f t="shared" si="55"/>
        <v>0</v>
      </c>
      <c r="CW26" s="89">
        <f t="shared" si="56"/>
        <v>22.354624999999999</v>
      </c>
      <c r="CX26" s="89"/>
      <c r="CY26" s="89"/>
      <c r="CZ26" s="89">
        <f t="shared" si="57"/>
        <v>47.052853499999998</v>
      </c>
      <c r="DA26" s="89">
        <f t="shared" si="58"/>
        <v>24.698228499999999</v>
      </c>
    </row>
    <row r="27" spans="1:105" s="96" customFormat="1" ht="26.25" x14ac:dyDescent="0.7">
      <c r="A27" s="89">
        <v>23</v>
      </c>
      <c r="B27" s="89" t="s">
        <v>72</v>
      </c>
      <c r="C27" s="89">
        <v>159</v>
      </c>
      <c r="D27" s="90">
        <f t="shared" si="22"/>
        <v>111300</v>
      </c>
      <c r="E27" s="90">
        <f>$C27*250*0.01</f>
        <v>397.5</v>
      </c>
      <c r="F27" s="90">
        <f>$C27*50*0.01</f>
        <v>79.5</v>
      </c>
      <c r="G27" s="90">
        <f>$C27*20*0.5</f>
        <v>1590</v>
      </c>
      <c r="H27" s="103">
        <v>65166</v>
      </c>
      <c r="I27" s="103">
        <v>0</v>
      </c>
      <c r="J27" s="93">
        <v>0</v>
      </c>
      <c r="K27" s="103">
        <v>558</v>
      </c>
      <c r="L27" s="95">
        <v>5500</v>
      </c>
      <c r="M27" s="94">
        <f t="shared" si="0"/>
        <v>6058</v>
      </c>
      <c r="N27" s="95">
        <v>1000</v>
      </c>
      <c r="O27" s="95">
        <f t="shared" si="59"/>
        <v>6000</v>
      </c>
      <c r="P27" s="95"/>
      <c r="Q27" s="95">
        <f t="shared" si="23"/>
        <v>0</v>
      </c>
      <c r="R27" s="95">
        <f t="shared" si="24"/>
        <v>1000</v>
      </c>
      <c r="S27" s="95">
        <f t="shared" si="25"/>
        <v>6000</v>
      </c>
      <c r="T27" s="95">
        <v>0</v>
      </c>
      <c r="U27" s="95">
        <f t="shared" si="26"/>
        <v>0</v>
      </c>
      <c r="V27" s="95">
        <v>0</v>
      </c>
      <c r="W27" s="95">
        <f t="shared" si="27"/>
        <v>0</v>
      </c>
      <c r="X27" s="95">
        <f t="shared" si="28"/>
        <v>0</v>
      </c>
      <c r="Y27" s="95">
        <f t="shared" si="28"/>
        <v>0</v>
      </c>
      <c r="Z27" s="95">
        <v>1135320</v>
      </c>
      <c r="AA27" s="89">
        <v>0</v>
      </c>
      <c r="AB27" s="89">
        <v>0</v>
      </c>
      <c r="AC27" s="89">
        <f t="shared" si="1"/>
        <v>1212544</v>
      </c>
      <c r="AE27" s="89">
        <v>23</v>
      </c>
      <c r="AF27" s="89" t="s">
        <v>72</v>
      </c>
      <c r="AG27" s="94">
        <f t="shared" si="2"/>
        <v>50641.5</v>
      </c>
      <c r="AH27" s="94">
        <f t="shared" si="3"/>
        <v>397.5</v>
      </c>
      <c r="AI27" s="94">
        <f t="shared" si="4"/>
        <v>114.48</v>
      </c>
      <c r="AJ27" s="94">
        <f t="shared" si="5"/>
        <v>5406</v>
      </c>
      <c r="AK27" s="94">
        <f t="shared" si="29"/>
        <v>44550</v>
      </c>
      <c r="AL27" s="94">
        <f t="shared" si="30"/>
        <v>49956</v>
      </c>
      <c r="AM27" s="95">
        <f t="shared" si="31"/>
        <v>1071</v>
      </c>
      <c r="AN27" s="95">
        <f t="shared" si="6"/>
        <v>0</v>
      </c>
      <c r="AO27" s="95">
        <f t="shared" si="32"/>
        <v>1071</v>
      </c>
      <c r="AP27" s="95">
        <f t="shared" si="7"/>
        <v>0</v>
      </c>
      <c r="AQ27" s="95">
        <f t="shared" si="8"/>
        <v>0</v>
      </c>
      <c r="AR27" s="95">
        <f t="shared" si="33"/>
        <v>0</v>
      </c>
      <c r="AS27" s="89">
        <f t="shared" si="9"/>
        <v>2157108</v>
      </c>
      <c r="AT27" s="89">
        <v>0</v>
      </c>
      <c r="AU27" s="89">
        <v>0</v>
      </c>
      <c r="AV27" s="89">
        <f t="shared" si="34"/>
        <v>2259288.48</v>
      </c>
      <c r="AW27" s="89">
        <v>23</v>
      </c>
      <c r="AX27" s="89" t="s">
        <v>72</v>
      </c>
      <c r="AY27" s="94">
        <f t="shared" si="35"/>
        <v>1563.9839999999999</v>
      </c>
      <c r="AZ27" s="94">
        <f t="shared" si="35"/>
        <v>0</v>
      </c>
      <c r="BA27" s="94">
        <f t="shared" si="35"/>
        <v>0</v>
      </c>
      <c r="BB27" s="94">
        <f t="shared" si="35"/>
        <v>13.391999999999999</v>
      </c>
      <c r="BC27" s="94">
        <f t="shared" si="35"/>
        <v>132</v>
      </c>
      <c r="BD27" s="94">
        <f t="shared" si="36"/>
        <v>145.392</v>
      </c>
      <c r="BE27" s="95">
        <f t="shared" si="37"/>
        <v>24</v>
      </c>
      <c r="BF27" s="95">
        <f t="shared" si="38"/>
        <v>0</v>
      </c>
      <c r="BG27" s="95">
        <f t="shared" si="39"/>
        <v>24</v>
      </c>
      <c r="BH27" s="95">
        <f t="shared" si="40"/>
        <v>0</v>
      </c>
      <c r="BI27" s="95">
        <f t="shared" si="41"/>
        <v>0</v>
      </c>
      <c r="BJ27" s="95">
        <f t="shared" si="42"/>
        <v>0</v>
      </c>
      <c r="BK27" s="89">
        <f t="shared" si="43"/>
        <v>4541.28</v>
      </c>
      <c r="BL27" s="89">
        <f t="shared" si="43"/>
        <v>0</v>
      </c>
      <c r="BM27" s="89">
        <f t="shared" si="43"/>
        <v>0</v>
      </c>
      <c r="BN27" s="89">
        <f t="shared" si="44"/>
        <v>6274.6559999999999</v>
      </c>
      <c r="BO27" s="96">
        <f t="shared" si="10"/>
        <v>558</v>
      </c>
      <c r="BP27" s="97">
        <f t="shared" si="45"/>
        <v>5.9179799999999991</v>
      </c>
      <c r="BQ27" s="89">
        <v>23</v>
      </c>
      <c r="BR27" s="89" t="s">
        <v>72</v>
      </c>
      <c r="BS27" s="94">
        <f t="shared" si="11"/>
        <v>202844.25</v>
      </c>
      <c r="BT27" s="94">
        <f t="shared" si="12"/>
        <v>751.27499999999998</v>
      </c>
      <c r="BU27" s="94">
        <f t="shared" si="13"/>
        <v>143.1</v>
      </c>
      <c r="BV27" s="94">
        <f t="shared" si="14"/>
        <v>2432.7000000000003</v>
      </c>
      <c r="BW27" s="94">
        <v>0</v>
      </c>
      <c r="BX27" s="94">
        <f t="shared" si="46"/>
        <v>2432.7000000000003</v>
      </c>
      <c r="BY27" s="95">
        <f t="shared" si="15"/>
        <v>2337.5</v>
      </c>
      <c r="BZ27" s="95">
        <f t="shared" si="16"/>
        <v>0</v>
      </c>
      <c r="CA27" s="95">
        <f t="shared" si="47"/>
        <v>2337.5</v>
      </c>
      <c r="CB27" s="95">
        <f t="shared" si="17"/>
        <v>0</v>
      </c>
      <c r="CC27" s="95">
        <f t="shared" si="18"/>
        <v>0</v>
      </c>
      <c r="CD27" s="95">
        <f t="shared" si="48"/>
        <v>0</v>
      </c>
      <c r="CE27" s="89">
        <v>0</v>
      </c>
      <c r="CF27" s="89">
        <v>0</v>
      </c>
      <c r="CG27" s="89">
        <v>0</v>
      </c>
      <c r="CH27" s="89">
        <f t="shared" si="49"/>
        <v>208508.82500000001</v>
      </c>
      <c r="CI27" s="89">
        <v>23</v>
      </c>
      <c r="CJ27" s="89" t="s">
        <v>72</v>
      </c>
      <c r="CK27" s="98">
        <f t="shared" si="19"/>
        <v>32.582999999999998</v>
      </c>
      <c r="CL27" s="98">
        <f t="shared" si="19"/>
        <v>0</v>
      </c>
      <c r="CM27" s="98">
        <f t="shared" si="19"/>
        <v>0</v>
      </c>
      <c r="CN27" s="98">
        <f t="shared" si="50"/>
        <v>0.55800000000000005</v>
      </c>
      <c r="CO27" s="98">
        <f t="shared" si="50"/>
        <v>5.5</v>
      </c>
      <c r="CP27" s="94">
        <f t="shared" si="51"/>
        <v>6.0579999999999998</v>
      </c>
      <c r="CQ27" s="98">
        <f t="shared" si="20"/>
        <v>0.5</v>
      </c>
      <c r="CR27" s="98">
        <f t="shared" si="21"/>
        <v>0</v>
      </c>
      <c r="CS27" s="95">
        <f t="shared" si="52"/>
        <v>0.5</v>
      </c>
      <c r="CT27" s="98">
        <f t="shared" si="53"/>
        <v>0</v>
      </c>
      <c r="CU27" s="98">
        <f t="shared" si="54"/>
        <v>0</v>
      </c>
      <c r="CV27" s="95">
        <f t="shared" si="55"/>
        <v>0</v>
      </c>
      <c r="CW27" s="89">
        <f t="shared" si="56"/>
        <v>14.1915</v>
      </c>
      <c r="CX27" s="89"/>
      <c r="CY27" s="89"/>
      <c r="CZ27" s="89">
        <f t="shared" si="57"/>
        <v>53.332499999999996</v>
      </c>
      <c r="DA27" s="89">
        <f t="shared" si="58"/>
        <v>33.640999999999998</v>
      </c>
    </row>
    <row r="28" spans="1:105" s="96" customFormat="1" ht="26.25" x14ac:dyDescent="0.7">
      <c r="A28" s="89">
        <v>24</v>
      </c>
      <c r="B28" s="89" t="s">
        <v>73</v>
      </c>
      <c r="C28" s="90">
        <v>164</v>
      </c>
      <c r="D28" s="90">
        <f t="shared" si="22"/>
        <v>114800</v>
      </c>
      <c r="E28" s="90">
        <f>$C28*250*0.01</f>
        <v>410</v>
      </c>
      <c r="F28" s="90">
        <f>$C28*50*0.01</f>
        <v>82</v>
      </c>
      <c r="G28" s="90">
        <f>$C28*20*0.01</f>
        <v>32.799999999999997</v>
      </c>
      <c r="H28" s="91">
        <v>113915</v>
      </c>
      <c r="I28" s="99">
        <v>125</v>
      </c>
      <c r="J28" s="93">
        <v>105</v>
      </c>
      <c r="K28" s="99">
        <v>682</v>
      </c>
      <c r="L28" s="95">
        <v>0</v>
      </c>
      <c r="M28" s="94">
        <f t="shared" si="0"/>
        <v>682</v>
      </c>
      <c r="N28" s="95">
        <v>5000</v>
      </c>
      <c r="O28" s="95">
        <f t="shared" si="59"/>
        <v>30000</v>
      </c>
      <c r="P28" s="95"/>
      <c r="Q28" s="95">
        <f t="shared" si="23"/>
        <v>0</v>
      </c>
      <c r="R28" s="95">
        <f t="shared" si="24"/>
        <v>5000</v>
      </c>
      <c r="S28" s="95">
        <f t="shared" si="25"/>
        <v>30000</v>
      </c>
      <c r="T28" s="95">
        <v>30</v>
      </c>
      <c r="U28" s="95">
        <f t="shared" si="26"/>
        <v>300</v>
      </c>
      <c r="V28" s="95">
        <v>0</v>
      </c>
      <c r="W28" s="95">
        <f t="shared" si="27"/>
        <v>0</v>
      </c>
      <c r="X28" s="95">
        <f t="shared" si="28"/>
        <v>30</v>
      </c>
      <c r="Y28" s="95">
        <f t="shared" si="28"/>
        <v>300</v>
      </c>
      <c r="Z28" s="95">
        <v>2467250</v>
      </c>
      <c r="AA28" s="89">
        <v>0</v>
      </c>
      <c r="AB28" s="89">
        <v>0</v>
      </c>
      <c r="AC28" s="89">
        <f t="shared" si="1"/>
        <v>2612377</v>
      </c>
      <c r="AE28" s="89">
        <v>24</v>
      </c>
      <c r="AF28" s="89" t="s">
        <v>73</v>
      </c>
      <c r="AG28" s="94">
        <f t="shared" si="2"/>
        <v>52234</v>
      </c>
      <c r="AH28" s="94">
        <f t="shared" si="3"/>
        <v>410</v>
      </c>
      <c r="AI28" s="94">
        <f t="shared" si="4"/>
        <v>118.08000000000001</v>
      </c>
      <c r="AJ28" s="94">
        <f t="shared" si="5"/>
        <v>111.52</v>
      </c>
      <c r="AK28" s="94">
        <f t="shared" si="29"/>
        <v>0</v>
      </c>
      <c r="AL28" s="94">
        <f t="shared" si="30"/>
        <v>111.52</v>
      </c>
      <c r="AM28" s="95">
        <f t="shared" si="31"/>
        <v>5355</v>
      </c>
      <c r="AN28" s="95">
        <f t="shared" si="6"/>
        <v>0</v>
      </c>
      <c r="AO28" s="95">
        <f t="shared" si="32"/>
        <v>5355</v>
      </c>
      <c r="AP28" s="95">
        <f t="shared" si="7"/>
        <v>17010</v>
      </c>
      <c r="AQ28" s="95">
        <f t="shared" si="8"/>
        <v>0</v>
      </c>
      <c r="AR28" s="95">
        <f t="shared" si="33"/>
        <v>17010</v>
      </c>
      <c r="AS28" s="89">
        <f t="shared" si="9"/>
        <v>4687775</v>
      </c>
      <c r="AT28" s="89">
        <v>0</v>
      </c>
      <c r="AU28" s="89">
        <v>0</v>
      </c>
      <c r="AV28" s="89">
        <f t="shared" si="34"/>
        <v>4763013.5999999996</v>
      </c>
      <c r="AW28" s="89">
        <v>24</v>
      </c>
      <c r="AX28" s="89" t="s">
        <v>73</v>
      </c>
      <c r="AY28" s="94">
        <f t="shared" si="35"/>
        <v>2733.96</v>
      </c>
      <c r="AZ28" s="94">
        <f t="shared" si="35"/>
        <v>3</v>
      </c>
      <c r="BA28" s="94">
        <f t="shared" si="35"/>
        <v>2.52</v>
      </c>
      <c r="BB28" s="94">
        <f t="shared" si="35"/>
        <v>16.368000000000002</v>
      </c>
      <c r="BC28" s="94">
        <f t="shared" si="35"/>
        <v>0</v>
      </c>
      <c r="BD28" s="94">
        <f t="shared" si="36"/>
        <v>16.368000000000002</v>
      </c>
      <c r="BE28" s="95">
        <f t="shared" si="37"/>
        <v>120</v>
      </c>
      <c r="BF28" s="95">
        <f t="shared" si="38"/>
        <v>0</v>
      </c>
      <c r="BG28" s="95">
        <f t="shared" si="39"/>
        <v>120</v>
      </c>
      <c r="BH28" s="95">
        <f t="shared" si="40"/>
        <v>0.72</v>
      </c>
      <c r="BI28" s="95">
        <f t="shared" si="41"/>
        <v>0</v>
      </c>
      <c r="BJ28" s="95">
        <f t="shared" si="42"/>
        <v>0.72</v>
      </c>
      <c r="BK28" s="89">
        <f t="shared" si="43"/>
        <v>9869</v>
      </c>
      <c r="BL28" s="89">
        <f t="shared" si="43"/>
        <v>0</v>
      </c>
      <c r="BM28" s="89">
        <f t="shared" si="43"/>
        <v>0</v>
      </c>
      <c r="BN28" s="89">
        <f t="shared" si="44"/>
        <v>12745.567999999999</v>
      </c>
      <c r="BO28" s="96">
        <f t="shared" si="10"/>
        <v>912</v>
      </c>
      <c r="BP28" s="97">
        <f t="shared" si="45"/>
        <v>0.63960000000000006</v>
      </c>
      <c r="BQ28" s="89">
        <v>24</v>
      </c>
      <c r="BR28" s="89" t="s">
        <v>73</v>
      </c>
      <c r="BS28" s="94">
        <f t="shared" si="11"/>
        <v>209223</v>
      </c>
      <c r="BT28" s="94">
        <f t="shared" si="12"/>
        <v>774.9</v>
      </c>
      <c r="BU28" s="94">
        <f t="shared" si="13"/>
        <v>147.6</v>
      </c>
      <c r="BV28" s="94">
        <f t="shared" si="14"/>
        <v>50.183999999999997</v>
      </c>
      <c r="BW28" s="94">
        <v>0</v>
      </c>
      <c r="BX28" s="94">
        <f t="shared" si="46"/>
        <v>50.183999999999997</v>
      </c>
      <c r="BY28" s="95">
        <f t="shared" si="15"/>
        <v>11687.5</v>
      </c>
      <c r="BZ28" s="95">
        <f t="shared" si="16"/>
        <v>0</v>
      </c>
      <c r="CA28" s="95">
        <f t="shared" si="47"/>
        <v>11687.5</v>
      </c>
      <c r="CB28" s="95">
        <f t="shared" si="17"/>
        <v>720</v>
      </c>
      <c r="CC28" s="95">
        <f t="shared" si="18"/>
        <v>0</v>
      </c>
      <c r="CD28" s="95">
        <f t="shared" si="48"/>
        <v>720</v>
      </c>
      <c r="CE28" s="89">
        <v>0</v>
      </c>
      <c r="CF28" s="89">
        <v>0</v>
      </c>
      <c r="CG28" s="89">
        <v>0</v>
      </c>
      <c r="CH28" s="89">
        <f t="shared" si="49"/>
        <v>222603.18400000001</v>
      </c>
      <c r="CI28" s="89">
        <v>24</v>
      </c>
      <c r="CJ28" s="89" t="s">
        <v>73</v>
      </c>
      <c r="CK28" s="98">
        <f t="shared" si="19"/>
        <v>56.957500000000003</v>
      </c>
      <c r="CL28" s="98">
        <f t="shared" si="19"/>
        <v>6.25E-2</v>
      </c>
      <c r="CM28" s="98">
        <f t="shared" si="19"/>
        <v>5.2499999999999998E-2</v>
      </c>
      <c r="CN28" s="98">
        <f t="shared" si="50"/>
        <v>0.68200000000000005</v>
      </c>
      <c r="CO28" s="98">
        <f t="shared" si="50"/>
        <v>0</v>
      </c>
      <c r="CP28" s="94">
        <f t="shared" si="51"/>
        <v>0.68200000000000005</v>
      </c>
      <c r="CQ28" s="98">
        <f t="shared" si="20"/>
        <v>2.5</v>
      </c>
      <c r="CR28" s="98">
        <f t="shared" si="21"/>
        <v>0</v>
      </c>
      <c r="CS28" s="95">
        <f t="shared" si="52"/>
        <v>2.5</v>
      </c>
      <c r="CT28" s="98">
        <f t="shared" si="53"/>
        <v>3</v>
      </c>
      <c r="CU28" s="98">
        <f t="shared" si="54"/>
        <v>0</v>
      </c>
      <c r="CV28" s="95">
        <f t="shared" si="55"/>
        <v>3</v>
      </c>
      <c r="CW28" s="89">
        <f t="shared" si="56"/>
        <v>30.840624999999999</v>
      </c>
      <c r="CX28" s="89"/>
      <c r="CY28" s="89"/>
      <c r="CZ28" s="89">
        <f t="shared" si="57"/>
        <v>94.09512500000001</v>
      </c>
      <c r="DA28" s="89">
        <f t="shared" si="58"/>
        <v>63.254500000000007</v>
      </c>
    </row>
    <row r="29" spans="1:105" s="96" customFormat="1" ht="26.25" x14ac:dyDescent="0.7">
      <c r="A29" s="89">
        <v>25</v>
      </c>
      <c r="B29" s="89" t="s">
        <v>105</v>
      </c>
      <c r="C29" s="90">
        <v>53</v>
      </c>
      <c r="D29" s="90">
        <f t="shared" si="22"/>
        <v>37100</v>
      </c>
      <c r="E29" s="90">
        <f>$C29*250*0.01</f>
        <v>132.5</v>
      </c>
      <c r="F29" s="90">
        <f>$C29*50*0.01</f>
        <v>26.5</v>
      </c>
      <c r="G29" s="90">
        <f>$C29*20*0.5</f>
        <v>530</v>
      </c>
      <c r="H29" s="91">
        <v>25238</v>
      </c>
      <c r="I29" s="99">
        <v>2176</v>
      </c>
      <c r="J29" s="93">
        <v>183.375</v>
      </c>
      <c r="K29" s="99">
        <v>1405</v>
      </c>
      <c r="L29" s="95">
        <v>0</v>
      </c>
      <c r="M29" s="94">
        <f t="shared" si="0"/>
        <v>1405</v>
      </c>
      <c r="N29" s="95">
        <v>2000</v>
      </c>
      <c r="O29" s="95">
        <f t="shared" si="59"/>
        <v>12000</v>
      </c>
      <c r="P29" s="95"/>
      <c r="Q29" s="95">
        <f t="shared" si="23"/>
        <v>0</v>
      </c>
      <c r="R29" s="95">
        <f t="shared" si="24"/>
        <v>2000</v>
      </c>
      <c r="S29" s="95">
        <f t="shared" si="25"/>
        <v>12000</v>
      </c>
      <c r="T29" s="95">
        <v>0</v>
      </c>
      <c r="U29" s="95">
        <f t="shared" si="26"/>
        <v>0</v>
      </c>
      <c r="V29" s="95">
        <v>0</v>
      </c>
      <c r="W29" s="95">
        <f t="shared" si="27"/>
        <v>0</v>
      </c>
      <c r="X29" s="95">
        <f t="shared" si="28"/>
        <v>0</v>
      </c>
      <c r="Y29" s="95">
        <f t="shared" si="28"/>
        <v>0</v>
      </c>
      <c r="Z29" s="95">
        <v>913255</v>
      </c>
      <c r="AA29" s="89">
        <v>0</v>
      </c>
      <c r="AB29" s="89">
        <v>0</v>
      </c>
      <c r="AC29" s="89">
        <f t="shared" si="1"/>
        <v>954257.375</v>
      </c>
      <c r="AE29" s="89">
        <v>25</v>
      </c>
      <c r="AF29" s="89" t="s">
        <v>105</v>
      </c>
      <c r="AG29" s="94">
        <f t="shared" si="2"/>
        <v>16880.5</v>
      </c>
      <c r="AH29" s="94">
        <f t="shared" si="3"/>
        <v>132.5</v>
      </c>
      <c r="AI29" s="94">
        <f t="shared" si="4"/>
        <v>38.160000000000004</v>
      </c>
      <c r="AJ29" s="94">
        <f t="shared" si="5"/>
        <v>1802.0000000000002</v>
      </c>
      <c r="AK29" s="94">
        <f t="shared" si="29"/>
        <v>0</v>
      </c>
      <c r="AL29" s="94">
        <f t="shared" si="30"/>
        <v>1802.0000000000002</v>
      </c>
      <c r="AM29" s="95">
        <f t="shared" si="31"/>
        <v>2142</v>
      </c>
      <c r="AN29" s="95">
        <f t="shared" si="6"/>
        <v>0</v>
      </c>
      <c r="AO29" s="95">
        <f t="shared" si="32"/>
        <v>2142</v>
      </c>
      <c r="AP29" s="95">
        <f t="shared" si="7"/>
        <v>0</v>
      </c>
      <c r="AQ29" s="95">
        <f t="shared" si="8"/>
        <v>0</v>
      </c>
      <c r="AR29" s="95">
        <f t="shared" si="33"/>
        <v>0</v>
      </c>
      <c r="AS29" s="89">
        <f t="shared" si="9"/>
        <v>1735184.5</v>
      </c>
      <c r="AT29" s="89">
        <v>0</v>
      </c>
      <c r="AU29" s="89">
        <v>0</v>
      </c>
      <c r="AV29" s="89">
        <f t="shared" si="34"/>
        <v>1756179.66</v>
      </c>
      <c r="AW29" s="89">
        <v>25</v>
      </c>
      <c r="AX29" s="89" t="s">
        <v>105</v>
      </c>
      <c r="AY29" s="94">
        <f t="shared" si="35"/>
        <v>605.71199999999999</v>
      </c>
      <c r="AZ29" s="94">
        <f t="shared" si="35"/>
        <v>52.224000000000004</v>
      </c>
      <c r="BA29" s="94">
        <f t="shared" si="35"/>
        <v>4.4009999999999998</v>
      </c>
      <c r="BB29" s="94">
        <f t="shared" si="35"/>
        <v>33.72</v>
      </c>
      <c r="BC29" s="94">
        <f t="shared" si="35"/>
        <v>0</v>
      </c>
      <c r="BD29" s="94">
        <f t="shared" si="36"/>
        <v>33.72</v>
      </c>
      <c r="BE29" s="95">
        <f t="shared" si="37"/>
        <v>48</v>
      </c>
      <c r="BF29" s="95">
        <f t="shared" si="38"/>
        <v>0</v>
      </c>
      <c r="BG29" s="95">
        <f t="shared" si="39"/>
        <v>48</v>
      </c>
      <c r="BH29" s="95">
        <f t="shared" si="40"/>
        <v>0</v>
      </c>
      <c r="BI29" s="95">
        <f t="shared" si="41"/>
        <v>0</v>
      </c>
      <c r="BJ29" s="95">
        <f t="shared" si="42"/>
        <v>0</v>
      </c>
      <c r="BK29" s="89">
        <f t="shared" si="43"/>
        <v>3653.02</v>
      </c>
      <c r="BL29" s="89">
        <f t="shared" si="43"/>
        <v>0</v>
      </c>
      <c r="BM29" s="89">
        <f t="shared" si="43"/>
        <v>0</v>
      </c>
      <c r="BN29" s="89">
        <f t="shared" si="44"/>
        <v>4397.0770000000002</v>
      </c>
      <c r="BO29" s="96">
        <f t="shared" si="10"/>
        <v>3764.375</v>
      </c>
      <c r="BP29" s="97">
        <f t="shared" si="45"/>
        <v>1.9726600000000003</v>
      </c>
      <c r="BQ29" s="89">
        <v>25</v>
      </c>
      <c r="BR29" s="89" t="s">
        <v>105</v>
      </c>
      <c r="BS29" s="94">
        <f t="shared" si="11"/>
        <v>67614.75</v>
      </c>
      <c r="BT29" s="94">
        <f t="shared" si="12"/>
        <v>250.42500000000001</v>
      </c>
      <c r="BU29" s="94">
        <f t="shared" si="13"/>
        <v>47.7</v>
      </c>
      <c r="BV29" s="94">
        <f t="shared" si="14"/>
        <v>810.90000000000009</v>
      </c>
      <c r="BW29" s="94">
        <v>0</v>
      </c>
      <c r="BX29" s="94">
        <f t="shared" si="46"/>
        <v>810.90000000000009</v>
      </c>
      <c r="BY29" s="95">
        <f t="shared" si="15"/>
        <v>4675</v>
      </c>
      <c r="BZ29" s="95">
        <f t="shared" si="16"/>
        <v>0</v>
      </c>
      <c r="CA29" s="95">
        <f t="shared" si="47"/>
        <v>4675</v>
      </c>
      <c r="CB29" s="95">
        <f t="shared" si="17"/>
        <v>0</v>
      </c>
      <c r="CC29" s="95">
        <f t="shared" si="18"/>
        <v>0</v>
      </c>
      <c r="CD29" s="95">
        <f t="shared" si="48"/>
        <v>0</v>
      </c>
      <c r="CE29" s="89">
        <v>0</v>
      </c>
      <c r="CF29" s="89">
        <v>0</v>
      </c>
      <c r="CG29" s="89">
        <v>0</v>
      </c>
      <c r="CH29" s="89">
        <f t="shared" si="49"/>
        <v>73398.774999999994</v>
      </c>
      <c r="CI29" s="89">
        <v>25</v>
      </c>
      <c r="CJ29" s="89" t="s">
        <v>105</v>
      </c>
      <c r="CK29" s="98">
        <f t="shared" si="19"/>
        <v>12.619</v>
      </c>
      <c r="CL29" s="98">
        <f t="shared" si="19"/>
        <v>1.0880000000000001</v>
      </c>
      <c r="CM29" s="98">
        <f t="shared" si="19"/>
        <v>9.1687500000000005E-2</v>
      </c>
      <c r="CN29" s="98">
        <f t="shared" si="50"/>
        <v>1.405</v>
      </c>
      <c r="CO29" s="98">
        <f t="shared" si="50"/>
        <v>0</v>
      </c>
      <c r="CP29" s="94">
        <f t="shared" si="51"/>
        <v>1.405</v>
      </c>
      <c r="CQ29" s="98">
        <f t="shared" si="20"/>
        <v>1</v>
      </c>
      <c r="CR29" s="98">
        <f t="shared" si="21"/>
        <v>0</v>
      </c>
      <c r="CS29" s="95">
        <f t="shared" si="52"/>
        <v>1</v>
      </c>
      <c r="CT29" s="98">
        <f t="shared" si="53"/>
        <v>0</v>
      </c>
      <c r="CU29" s="98">
        <f t="shared" si="54"/>
        <v>0</v>
      </c>
      <c r="CV29" s="95">
        <f t="shared" si="55"/>
        <v>0</v>
      </c>
      <c r="CW29" s="89">
        <f t="shared" si="56"/>
        <v>11.415687500000001</v>
      </c>
      <c r="CX29" s="89"/>
      <c r="CY29" s="89"/>
      <c r="CZ29" s="89">
        <f t="shared" si="57"/>
        <v>27.619375000000002</v>
      </c>
      <c r="DA29" s="89">
        <f t="shared" si="58"/>
        <v>16.203687500000001</v>
      </c>
    </row>
    <row r="30" spans="1:105" s="96" customFormat="1" ht="26.25" x14ac:dyDescent="0.7">
      <c r="A30" s="89">
        <v>26</v>
      </c>
      <c r="B30" s="89" t="s">
        <v>75</v>
      </c>
      <c r="C30" s="90">
        <v>40</v>
      </c>
      <c r="D30" s="90">
        <f t="shared" si="22"/>
        <v>28000</v>
      </c>
      <c r="E30" s="90">
        <f>$C30*250*0.2</f>
        <v>2000</v>
      </c>
      <c r="F30" s="90">
        <f>$C30*50*0.1</f>
        <v>200</v>
      </c>
      <c r="G30" s="90">
        <f>$C30*20*0.01</f>
        <v>8</v>
      </c>
      <c r="H30" s="91">
        <v>40424</v>
      </c>
      <c r="I30" s="99">
        <v>1650</v>
      </c>
      <c r="J30" s="93">
        <v>210</v>
      </c>
      <c r="K30" s="99">
        <v>152</v>
      </c>
      <c r="L30" s="95">
        <v>0</v>
      </c>
      <c r="M30" s="94">
        <f t="shared" si="0"/>
        <v>152</v>
      </c>
      <c r="N30" s="95">
        <v>0</v>
      </c>
      <c r="O30" s="95">
        <f t="shared" si="59"/>
        <v>0</v>
      </c>
      <c r="P30" s="95">
        <v>0</v>
      </c>
      <c r="Q30" s="95">
        <f t="shared" si="23"/>
        <v>0</v>
      </c>
      <c r="R30" s="95">
        <f t="shared" si="24"/>
        <v>0</v>
      </c>
      <c r="S30" s="95">
        <f t="shared" si="25"/>
        <v>0</v>
      </c>
      <c r="T30" s="95"/>
      <c r="U30" s="95">
        <v>67</v>
      </c>
      <c r="V30" s="95">
        <v>0</v>
      </c>
      <c r="W30" s="95">
        <f t="shared" si="27"/>
        <v>0</v>
      </c>
      <c r="X30" s="95">
        <f t="shared" si="28"/>
        <v>0</v>
      </c>
      <c r="Y30" s="95">
        <f t="shared" si="28"/>
        <v>67</v>
      </c>
      <c r="Z30" s="95">
        <v>534890</v>
      </c>
      <c r="AA30" s="89">
        <v>0</v>
      </c>
      <c r="AB30" s="89">
        <v>0</v>
      </c>
      <c r="AC30" s="89">
        <f t="shared" si="1"/>
        <v>577393</v>
      </c>
      <c r="AE30" s="89">
        <v>26</v>
      </c>
      <c r="AF30" s="89" t="s">
        <v>75</v>
      </c>
      <c r="AG30" s="94">
        <f t="shared" si="2"/>
        <v>12740</v>
      </c>
      <c r="AH30" s="94">
        <f t="shared" si="3"/>
        <v>2000</v>
      </c>
      <c r="AI30" s="94">
        <f t="shared" si="4"/>
        <v>288</v>
      </c>
      <c r="AJ30" s="94">
        <f t="shared" si="5"/>
        <v>27.200000000000003</v>
      </c>
      <c r="AK30" s="94">
        <f t="shared" si="29"/>
        <v>0</v>
      </c>
      <c r="AL30" s="94">
        <f t="shared" si="30"/>
        <v>27.200000000000003</v>
      </c>
      <c r="AM30" s="95">
        <f t="shared" si="31"/>
        <v>0</v>
      </c>
      <c r="AN30" s="95">
        <f t="shared" si="6"/>
        <v>0</v>
      </c>
      <c r="AO30" s="95">
        <f t="shared" si="32"/>
        <v>0</v>
      </c>
      <c r="AP30" s="95">
        <f t="shared" si="7"/>
        <v>3752</v>
      </c>
      <c r="AQ30" s="95">
        <f t="shared" si="8"/>
        <v>0</v>
      </c>
      <c r="AR30" s="95">
        <f t="shared" si="33"/>
        <v>3752</v>
      </c>
      <c r="AS30" s="89">
        <f t="shared" si="9"/>
        <v>1016291</v>
      </c>
      <c r="AT30" s="89">
        <v>0</v>
      </c>
      <c r="AU30" s="89">
        <v>0</v>
      </c>
      <c r="AV30" s="89">
        <f t="shared" si="34"/>
        <v>1035098.2</v>
      </c>
      <c r="AW30" s="89">
        <v>26</v>
      </c>
      <c r="AX30" s="89" t="s">
        <v>75</v>
      </c>
      <c r="AY30" s="94">
        <f t="shared" si="35"/>
        <v>970.17600000000004</v>
      </c>
      <c r="AZ30" s="94">
        <f t="shared" si="35"/>
        <v>39.6</v>
      </c>
      <c r="BA30" s="94">
        <f t="shared" si="35"/>
        <v>5.04</v>
      </c>
      <c r="BB30" s="94">
        <f t="shared" si="35"/>
        <v>3.6480000000000001</v>
      </c>
      <c r="BC30" s="94">
        <f t="shared" si="35"/>
        <v>0</v>
      </c>
      <c r="BD30" s="94">
        <f t="shared" si="36"/>
        <v>3.6480000000000001</v>
      </c>
      <c r="BE30" s="95">
        <f t="shared" si="37"/>
        <v>0</v>
      </c>
      <c r="BF30" s="95">
        <f t="shared" si="38"/>
        <v>0</v>
      </c>
      <c r="BG30" s="95">
        <f t="shared" si="39"/>
        <v>0</v>
      </c>
      <c r="BH30" s="95">
        <f t="shared" si="40"/>
        <v>0</v>
      </c>
      <c r="BI30" s="95">
        <f t="shared" si="41"/>
        <v>0</v>
      </c>
      <c r="BJ30" s="95">
        <f t="shared" si="42"/>
        <v>0</v>
      </c>
      <c r="BK30" s="89">
        <f t="shared" si="43"/>
        <v>2139.56</v>
      </c>
      <c r="BL30" s="89">
        <f t="shared" si="43"/>
        <v>0</v>
      </c>
      <c r="BM30" s="89">
        <f t="shared" si="43"/>
        <v>0</v>
      </c>
      <c r="BN30" s="89">
        <f t="shared" si="44"/>
        <v>3158.0239999999999</v>
      </c>
      <c r="BO30" s="96">
        <f t="shared" si="10"/>
        <v>2012</v>
      </c>
      <c r="BP30" s="97">
        <f t="shared" si="45"/>
        <v>2.3151999999999999</v>
      </c>
      <c r="BQ30" s="89">
        <v>26</v>
      </c>
      <c r="BR30" s="89" t="s">
        <v>75</v>
      </c>
      <c r="BS30" s="94">
        <f t="shared" si="11"/>
        <v>51030</v>
      </c>
      <c r="BT30" s="94">
        <f t="shared" si="12"/>
        <v>3780</v>
      </c>
      <c r="BU30" s="94">
        <f t="shared" si="13"/>
        <v>360</v>
      </c>
      <c r="BV30" s="94">
        <f t="shared" si="14"/>
        <v>12.240000000000002</v>
      </c>
      <c r="BW30" s="94">
        <v>0</v>
      </c>
      <c r="BX30" s="94">
        <f t="shared" si="46"/>
        <v>12.240000000000002</v>
      </c>
      <c r="BY30" s="95">
        <f t="shared" si="15"/>
        <v>0</v>
      </c>
      <c r="BZ30" s="95">
        <f t="shared" si="16"/>
        <v>0</v>
      </c>
      <c r="CA30" s="95">
        <f t="shared" si="47"/>
        <v>0</v>
      </c>
      <c r="CB30" s="95">
        <f t="shared" si="17"/>
        <v>0</v>
      </c>
      <c r="CC30" s="95">
        <f t="shared" si="18"/>
        <v>0</v>
      </c>
      <c r="CD30" s="95">
        <f t="shared" si="48"/>
        <v>0</v>
      </c>
      <c r="CE30" s="89">
        <v>0</v>
      </c>
      <c r="CF30" s="89">
        <v>0</v>
      </c>
      <c r="CG30" s="89">
        <v>0</v>
      </c>
      <c r="CH30" s="89">
        <f t="shared" si="49"/>
        <v>55182.239999999998</v>
      </c>
      <c r="CI30" s="89">
        <v>26</v>
      </c>
      <c r="CJ30" s="89" t="s">
        <v>75</v>
      </c>
      <c r="CK30" s="98">
        <f t="shared" si="19"/>
        <v>20.212</v>
      </c>
      <c r="CL30" s="98">
        <f t="shared" si="19"/>
        <v>0.82499999999999996</v>
      </c>
      <c r="CM30" s="98">
        <f t="shared" si="19"/>
        <v>0.105</v>
      </c>
      <c r="CN30" s="98">
        <f t="shared" si="50"/>
        <v>0.152</v>
      </c>
      <c r="CO30" s="98">
        <f t="shared" si="50"/>
        <v>0</v>
      </c>
      <c r="CP30" s="94">
        <f t="shared" si="51"/>
        <v>0.152</v>
      </c>
      <c r="CQ30" s="98">
        <f t="shared" si="20"/>
        <v>0</v>
      </c>
      <c r="CR30" s="98">
        <f t="shared" si="21"/>
        <v>0</v>
      </c>
      <c r="CS30" s="95">
        <f t="shared" si="52"/>
        <v>0</v>
      </c>
      <c r="CT30" s="98">
        <f t="shared" si="53"/>
        <v>0</v>
      </c>
      <c r="CU30" s="98">
        <f t="shared" si="54"/>
        <v>0</v>
      </c>
      <c r="CV30" s="95">
        <f t="shared" si="55"/>
        <v>0</v>
      </c>
      <c r="CW30" s="89">
        <f t="shared" si="56"/>
        <v>6.6861249999999997</v>
      </c>
      <c r="CX30" s="89"/>
      <c r="CY30" s="89"/>
      <c r="CZ30" s="89">
        <f t="shared" si="57"/>
        <v>27.980125000000001</v>
      </c>
      <c r="DA30" s="89">
        <f t="shared" si="58"/>
        <v>21.294</v>
      </c>
    </row>
    <row r="31" spans="1:105" s="96" customFormat="1" ht="26.25" x14ac:dyDescent="0.7">
      <c r="A31" s="89">
        <v>27</v>
      </c>
      <c r="B31" s="89" t="s">
        <v>53</v>
      </c>
      <c r="C31" s="90">
        <v>95</v>
      </c>
      <c r="D31" s="90">
        <f t="shared" si="22"/>
        <v>66500</v>
      </c>
      <c r="E31" s="90">
        <f>$C31*250*0.4</f>
        <v>9500</v>
      </c>
      <c r="F31" s="90">
        <f>$C31*50*0.1</f>
        <v>475</v>
      </c>
      <c r="G31" s="90">
        <f>$C31*20*0.01</f>
        <v>19</v>
      </c>
      <c r="H31" s="91">
        <v>14457</v>
      </c>
      <c r="I31" s="99">
        <v>2371</v>
      </c>
      <c r="J31" s="93">
        <v>387.28800000000001</v>
      </c>
      <c r="K31" s="99">
        <v>85</v>
      </c>
      <c r="L31" s="95">
        <v>0</v>
      </c>
      <c r="M31" s="94">
        <f t="shared" si="0"/>
        <v>85</v>
      </c>
      <c r="N31" s="95">
        <v>500</v>
      </c>
      <c r="O31" s="95">
        <f t="shared" si="59"/>
        <v>3000</v>
      </c>
      <c r="P31" s="95">
        <v>0</v>
      </c>
      <c r="Q31" s="95">
        <f t="shared" si="23"/>
        <v>0</v>
      </c>
      <c r="R31" s="95">
        <f t="shared" si="24"/>
        <v>500</v>
      </c>
      <c r="S31" s="95">
        <f t="shared" si="25"/>
        <v>3000</v>
      </c>
      <c r="T31" s="95">
        <v>0</v>
      </c>
      <c r="U31" s="95">
        <v>12</v>
      </c>
      <c r="V31" s="95">
        <v>0</v>
      </c>
      <c r="W31" s="95">
        <f t="shared" si="27"/>
        <v>0</v>
      </c>
      <c r="X31" s="95">
        <f t="shared" si="28"/>
        <v>0</v>
      </c>
      <c r="Y31" s="95">
        <f t="shared" si="28"/>
        <v>12</v>
      </c>
      <c r="Z31" s="95">
        <v>373000</v>
      </c>
      <c r="AA31" s="89">
        <v>0</v>
      </c>
      <c r="AB31" s="89">
        <v>0</v>
      </c>
      <c r="AC31" s="89">
        <f t="shared" si="1"/>
        <v>393312.288</v>
      </c>
      <c r="AE31" s="89">
        <v>27</v>
      </c>
      <c r="AF31" s="89" t="s">
        <v>53</v>
      </c>
      <c r="AG31" s="94">
        <f t="shared" si="2"/>
        <v>30257.5</v>
      </c>
      <c r="AH31" s="94">
        <f t="shared" si="3"/>
        <v>9500</v>
      </c>
      <c r="AI31" s="94">
        <f t="shared" si="4"/>
        <v>684</v>
      </c>
      <c r="AJ31" s="94">
        <f t="shared" si="5"/>
        <v>64.600000000000009</v>
      </c>
      <c r="AK31" s="95">
        <f t="shared" si="29"/>
        <v>0</v>
      </c>
      <c r="AL31" s="94">
        <f t="shared" si="30"/>
        <v>64.600000000000009</v>
      </c>
      <c r="AM31" s="95">
        <f t="shared" si="31"/>
        <v>535.5</v>
      </c>
      <c r="AN31" s="95">
        <f t="shared" si="6"/>
        <v>0</v>
      </c>
      <c r="AO31" s="95">
        <f t="shared" si="32"/>
        <v>535.5</v>
      </c>
      <c r="AP31" s="95">
        <f t="shared" si="7"/>
        <v>672</v>
      </c>
      <c r="AQ31" s="95">
        <f t="shared" si="8"/>
        <v>0</v>
      </c>
      <c r="AR31" s="95">
        <f t="shared" si="33"/>
        <v>672</v>
      </c>
      <c r="AS31" s="89">
        <f t="shared" si="9"/>
        <v>708700</v>
      </c>
      <c r="AT31" s="89">
        <v>0</v>
      </c>
      <c r="AU31" s="89">
        <v>0</v>
      </c>
      <c r="AV31" s="89">
        <f>AG31+AH31+AI31+AL31+AO31+AR31+AS31+AT31+AU31</f>
        <v>750413.6</v>
      </c>
      <c r="AW31" s="89">
        <v>27</v>
      </c>
      <c r="AX31" s="89" t="s">
        <v>53</v>
      </c>
      <c r="AY31" s="94">
        <f t="shared" si="35"/>
        <v>346.96800000000002</v>
      </c>
      <c r="AZ31" s="94">
        <f t="shared" si="35"/>
        <v>56.904000000000003</v>
      </c>
      <c r="BA31" s="94">
        <f t="shared" si="35"/>
        <v>9.2949120000000001</v>
      </c>
      <c r="BB31" s="94">
        <f t="shared" si="35"/>
        <v>2.04</v>
      </c>
      <c r="BC31" s="94">
        <f t="shared" si="35"/>
        <v>0</v>
      </c>
      <c r="BD31" s="94">
        <f t="shared" si="36"/>
        <v>2.04</v>
      </c>
      <c r="BE31" s="95">
        <f t="shared" si="37"/>
        <v>12</v>
      </c>
      <c r="BF31" s="95">
        <f t="shared" si="38"/>
        <v>0</v>
      </c>
      <c r="BG31" s="95">
        <f t="shared" si="39"/>
        <v>12</v>
      </c>
      <c r="BH31" s="95">
        <f t="shared" si="40"/>
        <v>0</v>
      </c>
      <c r="BI31" s="95">
        <f t="shared" si="41"/>
        <v>0</v>
      </c>
      <c r="BJ31" s="95">
        <f t="shared" si="42"/>
        <v>0</v>
      </c>
      <c r="BK31" s="89">
        <f t="shared" si="43"/>
        <v>1492</v>
      </c>
      <c r="BL31" s="89">
        <f t="shared" si="43"/>
        <v>0</v>
      </c>
      <c r="BM31" s="89">
        <f t="shared" si="43"/>
        <v>0</v>
      </c>
      <c r="BN31" s="89">
        <f t="shared" si="44"/>
        <v>1919.2069120000001</v>
      </c>
      <c r="BO31" s="96">
        <f t="shared" si="10"/>
        <v>2843.288</v>
      </c>
      <c r="BP31" s="97">
        <f t="shared" si="45"/>
        <v>10.2486</v>
      </c>
      <c r="BQ31" s="89">
        <v>27</v>
      </c>
      <c r="BR31" s="89" t="s">
        <v>53</v>
      </c>
      <c r="BS31" s="94">
        <f t="shared" si="11"/>
        <v>121196.25</v>
      </c>
      <c r="BT31" s="94">
        <f t="shared" si="12"/>
        <v>17955</v>
      </c>
      <c r="BU31" s="94">
        <f t="shared" si="13"/>
        <v>855</v>
      </c>
      <c r="BV31" s="94">
        <f t="shared" si="14"/>
        <v>29.070000000000004</v>
      </c>
      <c r="BW31" s="94">
        <v>0</v>
      </c>
      <c r="BX31" s="94">
        <f t="shared" si="46"/>
        <v>29.070000000000004</v>
      </c>
      <c r="BY31" s="95">
        <f t="shared" si="15"/>
        <v>1168.75</v>
      </c>
      <c r="BZ31" s="95">
        <f t="shared" si="16"/>
        <v>0</v>
      </c>
      <c r="CA31" s="95">
        <f t="shared" si="47"/>
        <v>1168.75</v>
      </c>
      <c r="CB31" s="95">
        <f t="shared" si="17"/>
        <v>0</v>
      </c>
      <c r="CC31" s="95">
        <f t="shared" si="18"/>
        <v>0</v>
      </c>
      <c r="CD31" s="95">
        <f t="shared" si="48"/>
        <v>0</v>
      </c>
      <c r="CE31" s="89">
        <v>0</v>
      </c>
      <c r="CF31" s="89">
        <v>0</v>
      </c>
      <c r="CG31" s="89">
        <v>0</v>
      </c>
      <c r="CH31" s="89">
        <f t="shared" si="49"/>
        <v>141204.07</v>
      </c>
      <c r="CI31" s="89">
        <v>27</v>
      </c>
      <c r="CJ31" s="89" t="s">
        <v>53</v>
      </c>
      <c r="CK31" s="98">
        <f t="shared" si="19"/>
        <v>7.2285000000000004</v>
      </c>
      <c r="CL31" s="98">
        <f t="shared" si="19"/>
        <v>1.1855</v>
      </c>
      <c r="CM31" s="98">
        <f t="shared" si="19"/>
        <v>0.19364400000000001</v>
      </c>
      <c r="CN31" s="98">
        <f t="shared" si="50"/>
        <v>8.5000000000000006E-2</v>
      </c>
      <c r="CO31" s="98">
        <f t="shared" si="50"/>
        <v>0</v>
      </c>
      <c r="CP31" s="94">
        <f t="shared" si="51"/>
        <v>8.5000000000000006E-2</v>
      </c>
      <c r="CQ31" s="98">
        <f t="shared" si="20"/>
        <v>0.25</v>
      </c>
      <c r="CR31" s="98">
        <f t="shared" si="21"/>
        <v>0</v>
      </c>
      <c r="CS31" s="95">
        <f t="shared" si="52"/>
        <v>0.25</v>
      </c>
      <c r="CT31" s="98">
        <f t="shared" si="53"/>
        <v>0</v>
      </c>
      <c r="CU31" s="98">
        <f t="shared" si="54"/>
        <v>0</v>
      </c>
      <c r="CV31" s="95">
        <f t="shared" si="55"/>
        <v>0</v>
      </c>
      <c r="CW31" s="89">
        <f t="shared" si="56"/>
        <v>4.6624999999999996</v>
      </c>
      <c r="CX31" s="89"/>
      <c r="CY31" s="89"/>
      <c r="CZ31" s="89">
        <f t="shared" si="57"/>
        <v>13.605144000000001</v>
      </c>
      <c r="DA31" s="89">
        <f t="shared" si="58"/>
        <v>8.9426440000000014</v>
      </c>
    </row>
    <row r="32" spans="1:105" s="108" customFormat="1" ht="26.25" x14ac:dyDescent="0.7">
      <c r="A32" s="210" t="s">
        <v>5</v>
      </c>
      <c r="B32" s="211"/>
      <c r="C32" s="104">
        <f t="shared" ref="C32:AB32" si="60">SUM(C5:C31)</f>
        <v>4055</v>
      </c>
      <c r="D32" s="104">
        <f t="shared" si="60"/>
        <v>2838500</v>
      </c>
      <c r="E32" s="104">
        <f t="shared" si="60"/>
        <v>110115</v>
      </c>
      <c r="F32" s="104">
        <f t="shared" si="60"/>
        <v>17681</v>
      </c>
      <c r="G32" s="104">
        <f>SUM(G5:G31)</f>
        <v>8096.4000000000005</v>
      </c>
      <c r="H32" s="99">
        <f t="shared" si="60"/>
        <v>2766701</v>
      </c>
      <c r="I32" s="99">
        <f t="shared" si="60"/>
        <v>115725</v>
      </c>
      <c r="J32" s="99">
        <f t="shared" si="60"/>
        <v>24049.337</v>
      </c>
      <c r="K32" s="99">
        <f t="shared" si="60"/>
        <v>67853</v>
      </c>
      <c r="L32" s="104">
        <f t="shared" si="60"/>
        <v>5500</v>
      </c>
      <c r="M32" s="104">
        <f t="shared" si="60"/>
        <v>73353</v>
      </c>
      <c r="N32" s="104">
        <f t="shared" si="60"/>
        <v>202300</v>
      </c>
      <c r="O32" s="104">
        <f t="shared" si="60"/>
        <v>1278800</v>
      </c>
      <c r="P32" s="104">
        <f t="shared" si="60"/>
        <v>5900</v>
      </c>
      <c r="Q32" s="104">
        <f t="shared" si="60"/>
        <v>64900</v>
      </c>
      <c r="R32" s="104">
        <f t="shared" si="60"/>
        <v>208200</v>
      </c>
      <c r="S32" s="104">
        <f t="shared" si="60"/>
        <v>1343700</v>
      </c>
      <c r="T32" s="104">
        <f t="shared" si="60"/>
        <v>247</v>
      </c>
      <c r="U32" s="104">
        <f t="shared" si="60"/>
        <v>2559</v>
      </c>
      <c r="V32" s="104">
        <f t="shared" si="60"/>
        <v>190</v>
      </c>
      <c r="W32" s="104">
        <f t="shared" si="60"/>
        <v>2500</v>
      </c>
      <c r="X32" s="104">
        <f t="shared" si="60"/>
        <v>437</v>
      </c>
      <c r="Y32" s="104">
        <f t="shared" si="60"/>
        <v>5059</v>
      </c>
      <c r="Z32" s="104">
        <f t="shared" si="60"/>
        <v>41325500</v>
      </c>
      <c r="AA32" s="104">
        <f t="shared" si="60"/>
        <v>213325</v>
      </c>
      <c r="AB32" s="104">
        <f t="shared" si="60"/>
        <v>254500</v>
      </c>
      <c r="AC32" s="105">
        <f>H32+I32+J32+K32+S32+Y32+Z32+AA32+AB32</f>
        <v>46116412.336999997</v>
      </c>
      <c r="AD32" s="106"/>
      <c r="AE32" s="210" t="s">
        <v>5</v>
      </c>
      <c r="AF32" s="211"/>
      <c r="AG32" s="104">
        <f t="shared" ref="AG32:AV32" si="61">SUM(AG5:AG31)</f>
        <v>1291517.5</v>
      </c>
      <c r="AH32" s="104">
        <f t="shared" si="61"/>
        <v>110115</v>
      </c>
      <c r="AI32" s="104">
        <f t="shared" si="61"/>
        <v>25460.639999999999</v>
      </c>
      <c r="AJ32" s="104">
        <f t="shared" si="61"/>
        <v>27527.760000000006</v>
      </c>
      <c r="AK32" s="104">
        <f t="shared" si="61"/>
        <v>44550</v>
      </c>
      <c r="AL32" s="104">
        <f t="shared" si="61"/>
        <v>72077.760000000009</v>
      </c>
      <c r="AM32" s="104">
        <f t="shared" si="61"/>
        <v>226608.3</v>
      </c>
      <c r="AN32" s="104">
        <f t="shared" si="61"/>
        <v>10832.4</v>
      </c>
      <c r="AO32" s="104">
        <f t="shared" si="61"/>
        <v>237440.69999999998</v>
      </c>
      <c r="AP32" s="104">
        <f t="shared" si="61"/>
        <v>145033</v>
      </c>
      <c r="AQ32" s="104">
        <f t="shared" si="61"/>
        <v>141330</v>
      </c>
      <c r="AR32" s="104">
        <f t="shared" si="61"/>
        <v>286363</v>
      </c>
      <c r="AS32" s="104">
        <f t="shared" si="61"/>
        <v>78518450</v>
      </c>
      <c r="AT32" s="104">
        <f t="shared" si="61"/>
        <v>244717</v>
      </c>
      <c r="AU32" s="104">
        <f t="shared" si="61"/>
        <v>107800</v>
      </c>
      <c r="AV32" s="104">
        <f t="shared" si="61"/>
        <v>80893941.599999979</v>
      </c>
      <c r="AW32" s="210" t="s">
        <v>5</v>
      </c>
      <c r="AX32" s="211"/>
      <c r="AY32" s="107">
        <f t="shared" si="35"/>
        <v>66400.824000000008</v>
      </c>
      <c r="AZ32" s="107">
        <f t="shared" si="35"/>
        <v>2777.4</v>
      </c>
      <c r="BA32" s="107">
        <f t="shared" si="35"/>
        <v>577.18408799999997</v>
      </c>
      <c r="BB32" s="107">
        <f t="shared" si="35"/>
        <v>1628.472</v>
      </c>
      <c r="BC32" s="107">
        <f t="shared" si="35"/>
        <v>132</v>
      </c>
      <c r="BD32" s="107">
        <f t="shared" si="36"/>
        <v>1760.472</v>
      </c>
      <c r="BE32" s="104">
        <f t="shared" si="37"/>
        <v>4855.2</v>
      </c>
      <c r="BF32" s="104">
        <f t="shared" si="38"/>
        <v>259.9776</v>
      </c>
      <c r="BG32" s="104">
        <f t="shared" si="39"/>
        <v>5115.1776</v>
      </c>
      <c r="BH32" s="104">
        <f t="shared" si="40"/>
        <v>5.9279999999999999</v>
      </c>
      <c r="BI32" s="104">
        <f t="shared" si="41"/>
        <v>4.5600000000000005</v>
      </c>
      <c r="BJ32" s="104">
        <f>SUM(BJ5:BJ31)</f>
        <v>10.488000000000001</v>
      </c>
      <c r="BK32" s="105">
        <f t="shared" si="43"/>
        <v>165302</v>
      </c>
      <c r="BL32" s="104">
        <f>SUM(BL5:BL31)</f>
        <v>853.30000000000007</v>
      </c>
      <c r="BM32" s="104">
        <f>SUM(BM5:BM31)</f>
        <v>1018</v>
      </c>
      <c r="BN32" s="104">
        <f>SUM(BN5:BN31)</f>
        <v>243814.84568800003</v>
      </c>
      <c r="BQ32" s="210" t="s">
        <v>5</v>
      </c>
      <c r="BR32" s="211"/>
      <c r="BS32" s="104">
        <f>SUM(BS5:BS31)</f>
        <v>5173166.25</v>
      </c>
      <c r="BT32" s="104">
        <f t="shared" ref="BT32:CH32" si="62">SUM(BT5:BT31)</f>
        <v>208117.34999999998</v>
      </c>
      <c r="BU32" s="104">
        <f t="shared" si="62"/>
        <v>31825.8</v>
      </c>
      <c r="BV32" s="104">
        <f t="shared" si="62"/>
        <v>12387.492</v>
      </c>
      <c r="BW32" s="104">
        <f t="shared" si="62"/>
        <v>0</v>
      </c>
      <c r="BX32" s="104">
        <f t="shared" si="62"/>
        <v>12387.492</v>
      </c>
      <c r="BY32" s="104">
        <f t="shared" si="62"/>
        <v>472876.25</v>
      </c>
      <c r="BZ32" s="104">
        <f t="shared" si="62"/>
        <v>13791.25</v>
      </c>
      <c r="CA32" s="104">
        <f t="shared" si="62"/>
        <v>486667.5</v>
      </c>
      <c r="CB32" s="104">
        <f t="shared" si="62"/>
        <v>5928</v>
      </c>
      <c r="CC32" s="104">
        <f t="shared" si="62"/>
        <v>4560</v>
      </c>
      <c r="CD32" s="104">
        <f t="shared" si="62"/>
        <v>10488</v>
      </c>
      <c r="CE32" s="104">
        <f t="shared" si="62"/>
        <v>0</v>
      </c>
      <c r="CF32" s="104">
        <f t="shared" si="62"/>
        <v>85037</v>
      </c>
      <c r="CG32" s="104">
        <f t="shared" si="62"/>
        <v>2496500</v>
      </c>
      <c r="CH32" s="104">
        <f t="shared" si="62"/>
        <v>8504189.3920000009</v>
      </c>
      <c r="CI32" s="210" t="s">
        <v>5</v>
      </c>
      <c r="CJ32" s="211"/>
      <c r="CK32" s="109">
        <f>H32/2000</f>
        <v>1383.3505</v>
      </c>
      <c r="CL32" s="104">
        <f t="shared" ref="CL32:CY32" si="63">SUM(CL5:CL31)</f>
        <v>57.862499999999997</v>
      </c>
      <c r="CM32" s="104">
        <f t="shared" si="63"/>
        <v>12.024668500000002</v>
      </c>
      <c r="CN32" s="109">
        <f t="shared" si="50"/>
        <v>67.852999999999994</v>
      </c>
      <c r="CO32" s="109">
        <f t="shared" si="50"/>
        <v>5.5</v>
      </c>
      <c r="CP32" s="104">
        <f t="shared" si="63"/>
        <v>73.353000000000023</v>
      </c>
      <c r="CQ32" s="104">
        <f t="shared" si="63"/>
        <v>101.15</v>
      </c>
      <c r="CR32" s="104">
        <f t="shared" si="63"/>
        <v>32.450000000000003</v>
      </c>
      <c r="CS32" s="104">
        <f t="shared" si="63"/>
        <v>133.6</v>
      </c>
      <c r="CT32" s="109">
        <f t="shared" si="53"/>
        <v>24.7</v>
      </c>
      <c r="CU32" s="109">
        <f t="shared" si="54"/>
        <v>9.5</v>
      </c>
      <c r="CV32" s="104">
        <f t="shared" si="63"/>
        <v>34.200000000000003</v>
      </c>
      <c r="CW32" s="104">
        <f t="shared" si="63"/>
        <v>516.56875000000002</v>
      </c>
      <c r="CX32" s="104">
        <f t="shared" si="63"/>
        <v>0</v>
      </c>
      <c r="CY32" s="104">
        <f t="shared" si="63"/>
        <v>0</v>
      </c>
      <c r="CZ32" s="105">
        <f>CK32+CL32+CM32+CN32+CS32+CV32+CW32+CX32+CY32</f>
        <v>2205.4594185000001</v>
      </c>
      <c r="DA32" s="105">
        <f t="shared" si="58"/>
        <v>1641.4406684999999</v>
      </c>
    </row>
    <row r="33" spans="2:86" s="66" customFormat="1" ht="26.25" x14ac:dyDescent="0.2">
      <c r="H33" s="110"/>
      <c r="I33" s="110"/>
      <c r="J33" s="110"/>
      <c r="K33" s="110"/>
    </row>
    <row r="34" spans="2:86" s="67" customFormat="1" ht="26.25" x14ac:dyDescent="0.2">
      <c r="H34" s="110"/>
      <c r="I34" s="110"/>
      <c r="J34" s="111">
        <f>H32+I32+J32</f>
        <v>2906475.3369999998</v>
      </c>
      <c r="K34" s="110"/>
      <c r="L34" s="112">
        <f>(H32+I32+J32)/20</f>
        <v>145323.76684999999</v>
      </c>
      <c r="M34" s="112"/>
      <c r="N34" s="113"/>
      <c r="O34" s="113"/>
      <c r="P34" s="113"/>
      <c r="Q34" s="96">
        <f>BU32</f>
        <v>31825.8</v>
      </c>
      <c r="R34" s="96"/>
      <c r="S34" s="113"/>
      <c r="T34" s="113"/>
      <c r="U34" s="113"/>
      <c r="AD34" s="66"/>
      <c r="AF34" s="114"/>
      <c r="AG34" s="112">
        <f>AS34-AR34</f>
        <v>5113424.0999999791</v>
      </c>
      <c r="AH34" s="112"/>
      <c r="AI34" s="115"/>
      <c r="AJ34" s="113"/>
      <c r="AK34" s="113"/>
      <c r="AL34" s="113"/>
      <c r="AM34" s="113"/>
      <c r="AN34" s="113"/>
      <c r="AO34" s="113"/>
      <c r="AP34" s="113"/>
      <c r="AQ34" s="113"/>
      <c r="AR34" s="113">
        <v>74489000</v>
      </c>
      <c r="AS34" s="116">
        <f>AV32-AG32</f>
        <v>79602424.099999979</v>
      </c>
      <c r="AT34" s="114"/>
      <c r="AV34" s="104">
        <v>81300000</v>
      </c>
      <c r="AX34" s="114"/>
      <c r="AY34" s="112"/>
      <c r="AZ34" s="112"/>
      <c r="BA34" s="117"/>
      <c r="BB34" s="113"/>
      <c r="BC34" s="113"/>
      <c r="BD34" s="113"/>
      <c r="BE34" s="113"/>
      <c r="BF34" s="113"/>
      <c r="BG34" s="113"/>
      <c r="BH34" s="113"/>
      <c r="BI34" s="113"/>
      <c r="BJ34" s="113"/>
      <c r="BK34" s="116"/>
      <c r="BL34" s="114"/>
      <c r="BR34" s="114"/>
      <c r="BS34" s="112"/>
      <c r="BT34" s="112"/>
      <c r="BU34" s="117">
        <f>BT32+BU32</f>
        <v>239943.14999999997</v>
      </c>
      <c r="BV34" s="113"/>
      <c r="BW34" s="113"/>
      <c r="BX34" s="113">
        <v>39770</v>
      </c>
      <c r="BY34" s="113"/>
      <c r="BZ34" s="113"/>
      <c r="CA34" s="113"/>
      <c r="CB34" s="113"/>
      <c r="CC34" s="113"/>
      <c r="CD34" s="113">
        <v>74489000</v>
      </c>
      <c r="CE34" s="116">
        <f>CH32-BS32</f>
        <v>3331023.1420000009</v>
      </c>
      <c r="CF34" s="114"/>
      <c r="CG34" s="67">
        <f>CH32/CH34*100</f>
        <v>121.48841988571431</v>
      </c>
      <c r="CH34" s="67">
        <v>7000000</v>
      </c>
    </row>
    <row r="35" spans="2:86" s="67" customFormat="1" ht="26.25" x14ac:dyDescent="0.2">
      <c r="H35" s="110"/>
      <c r="I35" s="110"/>
      <c r="J35" s="110"/>
      <c r="K35" s="110"/>
      <c r="L35" s="113"/>
      <c r="M35" s="113"/>
      <c r="N35" s="113"/>
      <c r="O35" s="113"/>
      <c r="P35" s="113"/>
      <c r="Q35" s="118">
        <v>39770</v>
      </c>
      <c r="R35" s="118"/>
      <c r="S35" s="113"/>
      <c r="T35" s="113"/>
      <c r="U35" s="113"/>
      <c r="AF35" s="114"/>
      <c r="AG35" s="112"/>
      <c r="AH35" s="112"/>
      <c r="AI35" s="115"/>
      <c r="AJ35" s="113"/>
      <c r="AK35" s="119" t="s">
        <v>152</v>
      </c>
      <c r="AL35" s="120">
        <f>AG32+AH32+AI32+AJ32+AM32+AP32</f>
        <v>1826262.2</v>
      </c>
      <c r="AM35" s="113"/>
      <c r="AN35" s="113"/>
      <c r="AO35" s="113"/>
      <c r="AP35" s="113"/>
      <c r="AQ35" s="113"/>
      <c r="AR35" s="121"/>
      <c r="AS35" s="114"/>
      <c r="AT35" s="114"/>
      <c r="AV35" s="122">
        <f>AV32/1000</f>
        <v>80893.941599999976</v>
      </c>
      <c r="AX35" s="114"/>
      <c r="AY35" s="112"/>
      <c r="AZ35" s="112"/>
      <c r="BA35" s="115"/>
      <c r="BB35" s="113"/>
      <c r="BC35" s="113"/>
      <c r="BD35" s="113"/>
      <c r="BE35" s="113"/>
      <c r="BF35" s="113"/>
      <c r="BG35" s="113"/>
      <c r="BH35" s="113"/>
      <c r="BI35" s="113"/>
      <c r="BJ35" s="121"/>
      <c r="BK35" s="114"/>
      <c r="BL35" s="114"/>
      <c r="BN35" s="122"/>
      <c r="BR35" s="114"/>
      <c r="BS35" s="112">
        <f>BS32/1000</f>
        <v>5173.1662500000002</v>
      </c>
      <c r="BT35" s="112"/>
      <c r="BU35" s="115"/>
      <c r="BV35" s="113"/>
      <c r="BW35" s="113"/>
      <c r="BX35" s="123">
        <f>BU32-BX34</f>
        <v>-7944.2000000000007</v>
      </c>
      <c r="BY35" s="113"/>
      <c r="BZ35" s="113"/>
      <c r="CA35" s="113">
        <f>(BX34*100)/BU32</f>
        <v>124.96150921579348</v>
      </c>
      <c r="CB35" s="113"/>
      <c r="CC35" s="113"/>
      <c r="CD35" s="121"/>
      <c r="CE35" s="114"/>
      <c r="CF35" s="114"/>
      <c r="CG35" s="67">
        <f>CG32/CH32</f>
        <v>0.29356119495039579</v>
      </c>
      <c r="CH35" s="122">
        <f>CH32/1000</f>
        <v>8504.1893920000002</v>
      </c>
    </row>
    <row r="36" spans="2:86" s="67" customFormat="1" ht="26.25" x14ac:dyDescent="0.2">
      <c r="B36" s="200" t="s">
        <v>153</v>
      </c>
      <c r="C36" s="124"/>
      <c r="D36" s="124"/>
      <c r="E36" s="124"/>
      <c r="F36" s="124"/>
      <c r="G36" s="124"/>
      <c r="H36" s="202" t="s">
        <v>154</v>
      </c>
      <c r="I36" s="203"/>
      <c r="J36" s="204"/>
      <c r="K36" s="205" t="s">
        <v>155</v>
      </c>
      <c r="L36" s="206"/>
      <c r="M36" s="207"/>
      <c r="N36" s="125"/>
      <c r="O36" s="125"/>
      <c r="P36" s="125"/>
      <c r="Q36" s="118"/>
      <c r="R36" s="118"/>
      <c r="S36" s="113"/>
      <c r="T36" s="113"/>
      <c r="U36" s="113"/>
      <c r="AB36" s="108"/>
      <c r="AF36" s="114"/>
      <c r="AG36" s="112"/>
      <c r="AH36" s="112"/>
      <c r="AI36" s="115">
        <v>53987</v>
      </c>
      <c r="AJ36" s="113"/>
      <c r="AK36" s="119" t="s">
        <v>156</v>
      </c>
      <c r="AL36" s="119">
        <v>4</v>
      </c>
      <c r="AM36" s="113"/>
      <c r="AN36" s="113"/>
      <c r="AO36" s="113"/>
      <c r="AP36" s="113"/>
      <c r="AQ36" s="113"/>
      <c r="AR36" s="113"/>
      <c r="AS36" s="114"/>
      <c r="AT36" s="114"/>
      <c r="AV36" s="67">
        <v>84684</v>
      </c>
      <c r="AX36" s="114"/>
      <c r="AY36" s="112"/>
      <c r="AZ36" s="112"/>
      <c r="BA36" s="115"/>
      <c r="BB36" s="113"/>
      <c r="BC36" s="113"/>
      <c r="BD36" s="113"/>
      <c r="BE36" s="113"/>
      <c r="BF36" s="113"/>
      <c r="BG36" s="113"/>
      <c r="BH36" s="113"/>
      <c r="BI36" s="113"/>
      <c r="BJ36" s="113"/>
      <c r="BK36" s="114"/>
      <c r="BL36" s="114"/>
      <c r="BR36" s="114"/>
      <c r="BS36" s="112"/>
      <c r="BT36" s="112"/>
      <c r="BU36" s="117"/>
      <c r="BV36" s="113"/>
      <c r="BW36" s="113"/>
      <c r="BX36" s="113"/>
      <c r="BY36" s="113"/>
      <c r="BZ36" s="113"/>
      <c r="CA36" s="113"/>
      <c r="CB36" s="113"/>
      <c r="CC36" s="113"/>
      <c r="CD36" s="113"/>
      <c r="CE36" s="114"/>
      <c r="CF36" s="114"/>
      <c r="CH36" s="67">
        <v>8174</v>
      </c>
    </row>
    <row r="37" spans="2:86" s="67" customFormat="1" ht="26.25" x14ac:dyDescent="0.2">
      <c r="B37" s="201"/>
      <c r="C37" s="126"/>
      <c r="D37" s="126"/>
      <c r="E37" s="126"/>
      <c r="F37" s="126"/>
      <c r="G37" s="126"/>
      <c r="H37" s="127" t="s">
        <v>157</v>
      </c>
      <c r="I37" s="127" t="s">
        <v>113</v>
      </c>
      <c r="J37" s="127" t="s">
        <v>158</v>
      </c>
      <c r="K37" s="127" t="s">
        <v>159</v>
      </c>
      <c r="L37" s="128" t="s">
        <v>160</v>
      </c>
      <c r="M37" s="128" t="s">
        <v>161</v>
      </c>
      <c r="N37" s="125"/>
      <c r="O37" s="125"/>
      <c r="P37" s="125"/>
      <c r="Q37" s="118"/>
      <c r="R37" s="118"/>
      <c r="S37" s="113"/>
      <c r="T37" s="113"/>
      <c r="U37" s="113"/>
      <c r="AF37" s="114"/>
      <c r="AG37" s="112"/>
      <c r="AH37" s="112"/>
      <c r="AI37" s="115"/>
      <c r="AJ37" s="113"/>
      <c r="AK37" s="119" t="s">
        <v>162</v>
      </c>
      <c r="AL37" s="119">
        <f>AL35/AL36</f>
        <v>456565.55</v>
      </c>
      <c r="AM37" s="113"/>
      <c r="AN37" s="113"/>
      <c r="AO37" s="113"/>
      <c r="AP37" s="113"/>
      <c r="AQ37" s="113"/>
      <c r="AR37" s="113"/>
      <c r="AS37" s="114"/>
      <c r="AT37" s="114"/>
      <c r="AU37" s="67">
        <f>(AV34-AV32)/AV34*100</f>
        <v>0.49945682656829138</v>
      </c>
      <c r="AV37" s="122">
        <f>AV35-AV36</f>
        <v>-3790.0584000000235</v>
      </c>
      <c r="AX37" s="114"/>
      <c r="AY37" s="112"/>
      <c r="AZ37" s="112"/>
      <c r="BA37" s="115"/>
      <c r="BB37" s="113"/>
      <c r="BC37" s="113"/>
      <c r="BD37" s="113"/>
      <c r="BE37" s="113"/>
      <c r="BF37" s="113"/>
      <c r="BG37" s="113"/>
      <c r="BH37" s="113"/>
      <c r="BI37" s="113"/>
      <c r="BJ37" s="113"/>
      <c r="BK37" s="114"/>
      <c r="BL37" s="114"/>
      <c r="BN37" s="122"/>
      <c r="BR37" s="114"/>
      <c r="BS37" s="112"/>
      <c r="BT37" s="112"/>
      <c r="BU37" s="117">
        <f>BY64</f>
        <v>39599.317800000004</v>
      </c>
      <c r="BV37" s="113">
        <v>0.48899999999999999</v>
      </c>
      <c r="BW37" s="107">
        <v>6091</v>
      </c>
      <c r="BX37" s="123">
        <f>BW37*$BV$37</f>
        <v>2978.4989999999998</v>
      </c>
      <c r="BY37" s="129">
        <f>BX37*$I$40*$H$40*$J$40</f>
        <v>5361.2982000000002</v>
      </c>
      <c r="BZ37" s="113"/>
      <c r="CA37" s="113"/>
      <c r="CB37" s="113"/>
      <c r="CC37" s="113"/>
      <c r="CD37" s="113"/>
      <c r="CE37" s="114"/>
      <c r="CF37" s="114"/>
      <c r="CH37" s="122">
        <f>CH35-CH36</f>
        <v>330.18939200000023</v>
      </c>
    </row>
    <row r="38" spans="2:86" s="67" customFormat="1" ht="33.75" x14ac:dyDescent="0.2">
      <c r="B38" s="130" t="s">
        <v>138</v>
      </c>
      <c r="C38" s="130"/>
      <c r="D38" s="130"/>
      <c r="E38" s="130"/>
      <c r="F38" s="130"/>
      <c r="G38" s="130"/>
      <c r="H38" s="131">
        <v>4.4999999999999998E-2</v>
      </c>
      <c r="I38" s="131">
        <v>90</v>
      </c>
      <c r="J38" s="132">
        <v>0.45</v>
      </c>
      <c r="K38" s="131">
        <v>1.4</v>
      </c>
      <c r="L38" s="133">
        <v>0.32500000000000001</v>
      </c>
      <c r="M38" s="133">
        <v>0.71</v>
      </c>
      <c r="N38" s="125"/>
      <c r="O38" s="125"/>
      <c r="P38" s="125"/>
      <c r="Q38" s="118"/>
      <c r="R38" s="118"/>
      <c r="S38" s="113"/>
      <c r="T38" s="113"/>
      <c r="U38" s="113"/>
      <c r="Z38" s="67" t="s">
        <v>163</v>
      </c>
      <c r="AA38" s="67">
        <v>2.66</v>
      </c>
      <c r="AF38" s="114"/>
      <c r="AG38" s="112"/>
      <c r="AH38" s="112"/>
      <c r="AI38" s="115"/>
      <c r="AJ38" s="113"/>
      <c r="AK38" s="113"/>
      <c r="AL38" s="113"/>
      <c r="AM38" s="113"/>
      <c r="AN38" s="113"/>
      <c r="AO38" s="113"/>
      <c r="AP38" s="113"/>
      <c r="AQ38" s="113"/>
      <c r="AR38" s="113"/>
      <c r="AS38" s="114"/>
      <c r="AT38" s="114"/>
      <c r="AU38" s="67">
        <f>100-AU37</f>
        <v>99.500543173431709</v>
      </c>
      <c r="AX38" s="114"/>
      <c r="AY38" s="112"/>
      <c r="AZ38" s="112"/>
      <c r="BA38" s="115"/>
      <c r="BB38" s="113"/>
      <c r="BC38" s="113"/>
      <c r="BD38" s="113"/>
      <c r="BE38" s="113"/>
      <c r="BF38" s="113"/>
      <c r="BG38" s="113"/>
      <c r="BH38" s="113"/>
      <c r="BI38" s="113"/>
      <c r="BJ38" s="113"/>
      <c r="BK38" s="114"/>
      <c r="BL38" s="114"/>
      <c r="BR38" s="114"/>
      <c r="BS38" s="112"/>
      <c r="BT38" s="112"/>
      <c r="BU38" s="115"/>
      <c r="BV38" s="113"/>
      <c r="BW38" s="107">
        <v>205</v>
      </c>
      <c r="BX38" s="123">
        <f t="shared" ref="BX38:BX64" si="64">BW38*$BV$37</f>
        <v>100.245</v>
      </c>
      <c r="BY38" s="129">
        <f t="shared" ref="BY38:BY64" si="65">BX38*$I$40*$H$40*$J$40</f>
        <v>180.44100000000003</v>
      </c>
      <c r="BZ38" s="113"/>
      <c r="CA38" s="113"/>
      <c r="CB38" s="113"/>
      <c r="CC38" s="113"/>
      <c r="CD38" s="113"/>
      <c r="CE38" s="114"/>
      <c r="CF38" s="114"/>
    </row>
    <row r="39" spans="2:86" s="67" customFormat="1" ht="33.75" x14ac:dyDescent="0.2">
      <c r="B39" s="130" t="s">
        <v>164</v>
      </c>
      <c r="C39" s="130"/>
      <c r="D39" s="130"/>
      <c r="E39" s="130"/>
      <c r="F39" s="130"/>
      <c r="G39" s="130"/>
      <c r="H39" s="131">
        <v>0.06</v>
      </c>
      <c r="I39" s="131">
        <v>70</v>
      </c>
      <c r="J39" s="132">
        <v>0.45</v>
      </c>
      <c r="K39" s="131">
        <v>2.5</v>
      </c>
      <c r="L39" s="133">
        <v>0.4</v>
      </c>
      <c r="M39" s="133">
        <v>0.73</v>
      </c>
      <c r="N39" s="125"/>
      <c r="O39" s="125"/>
      <c r="P39" s="125"/>
      <c r="Q39" s="118"/>
      <c r="R39" s="118"/>
      <c r="S39" s="113"/>
      <c r="T39" s="113"/>
      <c r="U39" s="113"/>
      <c r="Z39" s="67" t="s">
        <v>165</v>
      </c>
      <c r="AA39" s="134">
        <v>0.27</v>
      </c>
      <c r="AF39" s="114"/>
      <c r="AG39" s="112"/>
      <c r="AH39" s="112"/>
      <c r="AI39" s="115"/>
      <c r="AJ39" s="113"/>
      <c r="AK39" s="113"/>
      <c r="AL39" s="113"/>
      <c r="AM39" s="113"/>
      <c r="AN39" s="113"/>
      <c r="AO39" s="113"/>
      <c r="AP39" s="113"/>
      <c r="AQ39" s="113"/>
      <c r="AR39" s="113"/>
      <c r="AS39" s="114"/>
      <c r="AT39" s="114"/>
      <c r="AX39" s="114"/>
      <c r="AY39" s="112"/>
      <c r="AZ39" s="112"/>
      <c r="BA39" s="115"/>
      <c r="BB39" s="113"/>
      <c r="BC39" s="113"/>
      <c r="BD39" s="113"/>
      <c r="BE39" s="113"/>
      <c r="BF39" s="113"/>
      <c r="BG39" s="113"/>
      <c r="BH39" s="113"/>
      <c r="BI39" s="113"/>
      <c r="BJ39" s="113"/>
      <c r="BK39" s="114"/>
      <c r="BL39" s="114"/>
      <c r="BR39" s="114"/>
      <c r="BS39" s="112"/>
      <c r="BT39" s="112"/>
      <c r="BU39" s="115"/>
      <c r="BV39" s="113"/>
      <c r="BW39" s="104">
        <v>4086</v>
      </c>
      <c r="BX39" s="123">
        <f t="shared" si="64"/>
        <v>1998.0539999999999</v>
      </c>
      <c r="BY39" s="129">
        <f t="shared" si="65"/>
        <v>3596.4972000000002</v>
      </c>
      <c r="BZ39" s="113"/>
      <c r="CA39" s="113"/>
      <c r="CB39" s="113"/>
      <c r="CC39" s="113"/>
      <c r="CD39" s="113"/>
      <c r="CE39" s="114"/>
      <c r="CF39" s="114"/>
    </row>
    <row r="40" spans="2:86" s="67" customFormat="1" ht="33.75" x14ac:dyDescent="0.2">
      <c r="B40" s="130" t="s">
        <v>166</v>
      </c>
      <c r="C40" s="130"/>
      <c r="D40" s="130"/>
      <c r="E40" s="130"/>
      <c r="F40" s="130"/>
      <c r="G40" s="130"/>
      <c r="H40" s="131">
        <v>0.1</v>
      </c>
      <c r="I40" s="131">
        <v>45</v>
      </c>
      <c r="J40" s="132">
        <v>0.4</v>
      </c>
      <c r="K40" s="131">
        <v>3.2</v>
      </c>
      <c r="L40" s="133">
        <v>0.45</v>
      </c>
      <c r="M40" s="133">
        <v>0.73</v>
      </c>
      <c r="N40" s="125"/>
      <c r="O40" s="125"/>
      <c r="P40" s="125"/>
      <c r="Q40" s="118"/>
      <c r="R40" s="118"/>
      <c r="S40" s="113"/>
      <c r="T40" s="113"/>
      <c r="U40" s="113"/>
      <c r="AA40" s="67">
        <f>(AA38*AA39)-AA38</f>
        <v>-1.9418000000000002</v>
      </c>
      <c r="AF40" s="114"/>
      <c r="AG40" s="112"/>
      <c r="AH40" s="112"/>
      <c r="AI40" s="115"/>
      <c r="AJ40" s="113"/>
      <c r="AK40" s="113"/>
      <c r="AL40" s="113"/>
      <c r="AM40" s="113"/>
      <c r="AN40" s="113"/>
      <c r="AO40" s="113"/>
      <c r="AP40" s="113"/>
      <c r="AQ40" s="113"/>
      <c r="AR40" s="113"/>
      <c r="AS40" s="114"/>
      <c r="AT40" s="114"/>
      <c r="AX40" s="114"/>
      <c r="AY40" s="112"/>
      <c r="AZ40" s="112"/>
      <c r="BA40" s="115"/>
      <c r="BB40" s="113"/>
      <c r="BC40" s="113"/>
      <c r="BD40" s="113"/>
      <c r="BE40" s="113"/>
      <c r="BF40" s="113"/>
      <c r="BG40" s="113"/>
      <c r="BH40" s="113"/>
      <c r="BI40" s="113"/>
      <c r="BJ40" s="113"/>
      <c r="BK40" s="114"/>
      <c r="BL40" s="114"/>
      <c r="BR40" s="114"/>
      <c r="BS40" s="112"/>
      <c r="BT40" s="112"/>
      <c r="BU40" s="115"/>
      <c r="BV40" s="113"/>
      <c r="BW40" s="104">
        <v>0</v>
      </c>
      <c r="BX40" s="123">
        <f t="shared" si="64"/>
        <v>0</v>
      </c>
      <c r="BY40" s="129">
        <f t="shared" si="65"/>
        <v>0</v>
      </c>
      <c r="BZ40" s="113"/>
      <c r="CA40" s="113"/>
      <c r="CB40" s="113"/>
      <c r="CC40" s="113"/>
      <c r="CD40" s="113"/>
      <c r="CE40" s="114"/>
      <c r="CF40" s="114"/>
    </row>
    <row r="41" spans="2:86" s="67" customFormat="1" ht="33.75" x14ac:dyDescent="0.2">
      <c r="B41" s="130" t="s">
        <v>167</v>
      </c>
      <c r="C41" s="130"/>
      <c r="D41" s="130"/>
      <c r="E41" s="130"/>
      <c r="F41" s="130"/>
      <c r="G41" s="130"/>
      <c r="H41" s="131">
        <v>6.8000000000000005E-2</v>
      </c>
      <c r="I41" s="131">
        <v>50</v>
      </c>
      <c r="J41" s="132">
        <v>0.45</v>
      </c>
      <c r="K41" s="131">
        <v>3.5</v>
      </c>
      <c r="L41" s="133">
        <v>0.4</v>
      </c>
      <c r="M41" s="133">
        <v>0.73</v>
      </c>
      <c r="N41" s="135"/>
      <c r="O41" s="135"/>
      <c r="P41" s="135"/>
      <c r="Q41" s="118"/>
      <c r="R41" s="118"/>
      <c r="S41" s="114"/>
      <c r="T41" s="114"/>
      <c r="U41" s="114"/>
      <c r="Z41" s="67" t="s">
        <v>168</v>
      </c>
      <c r="AA41" s="134">
        <v>0.1</v>
      </c>
      <c r="AF41" s="114"/>
      <c r="AG41" s="112"/>
      <c r="AH41" s="112"/>
      <c r="AI41" s="115"/>
      <c r="AJ41" s="113"/>
      <c r="AK41" s="113"/>
      <c r="AL41" s="113"/>
      <c r="AM41" s="114"/>
      <c r="AN41" s="114"/>
      <c r="AO41" s="114"/>
      <c r="AP41" s="114"/>
      <c r="AQ41" s="114"/>
      <c r="AR41" s="114"/>
      <c r="AS41" s="114"/>
      <c r="AT41" s="114"/>
      <c r="AX41" s="114"/>
      <c r="AY41" s="112"/>
      <c r="AZ41" s="112"/>
      <c r="BA41" s="115"/>
      <c r="BB41" s="113"/>
      <c r="BC41" s="113"/>
      <c r="BD41" s="113"/>
      <c r="BE41" s="114"/>
      <c r="BF41" s="114"/>
      <c r="BG41" s="114"/>
      <c r="BH41" s="114"/>
      <c r="BI41" s="114"/>
      <c r="BJ41" s="114"/>
      <c r="BK41" s="114"/>
      <c r="BL41" s="114"/>
      <c r="BR41" s="114"/>
      <c r="BS41" s="112"/>
      <c r="BT41" s="112"/>
      <c r="BU41" s="115"/>
      <c r="BV41" s="113"/>
      <c r="BW41" s="136">
        <v>2643</v>
      </c>
      <c r="BX41" s="123">
        <f t="shared" si="64"/>
        <v>1292.4269999999999</v>
      </c>
      <c r="BY41" s="129">
        <f t="shared" si="65"/>
        <v>2326.3686000000002</v>
      </c>
      <c r="BZ41" s="114"/>
      <c r="CA41" s="114"/>
      <c r="CB41" s="114"/>
      <c r="CC41" s="114"/>
      <c r="CD41" s="114"/>
      <c r="CE41" s="114"/>
      <c r="CF41" s="114"/>
    </row>
    <row r="42" spans="2:86" s="67" customFormat="1" ht="33.75" x14ac:dyDescent="0.2">
      <c r="B42" s="130" t="s">
        <v>142</v>
      </c>
      <c r="C42" s="130"/>
      <c r="D42" s="130"/>
      <c r="E42" s="130"/>
      <c r="F42" s="130"/>
      <c r="G42" s="130"/>
      <c r="H42" s="131">
        <v>1.0999999999999999E-2</v>
      </c>
      <c r="I42" s="131">
        <v>250</v>
      </c>
      <c r="J42" s="132">
        <v>0.85</v>
      </c>
      <c r="K42" s="131">
        <v>0.18</v>
      </c>
      <c r="L42" s="133">
        <v>0.85</v>
      </c>
      <c r="M42" s="133">
        <v>0.75</v>
      </c>
      <c r="N42" s="135"/>
      <c r="O42" s="135"/>
      <c r="P42" s="135"/>
      <c r="Q42" s="137"/>
      <c r="R42" s="137"/>
      <c r="S42" s="114"/>
      <c r="T42" s="114"/>
      <c r="U42" s="114"/>
      <c r="Z42" s="65" t="s">
        <v>169</v>
      </c>
      <c r="AA42" s="67">
        <f>(AA40*AA41)-AA40</f>
        <v>1.7476200000000002</v>
      </c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R42" s="114"/>
      <c r="BS42" s="114"/>
      <c r="BT42" s="114"/>
      <c r="BU42" s="114"/>
      <c r="BV42" s="114"/>
      <c r="BW42" s="104">
        <v>3619</v>
      </c>
      <c r="BX42" s="123">
        <f t="shared" si="64"/>
        <v>1769.691</v>
      </c>
      <c r="BY42" s="129">
        <f t="shared" si="65"/>
        <v>3185.4438000000005</v>
      </c>
      <c r="BZ42" s="114"/>
      <c r="CA42" s="114"/>
      <c r="CB42" s="114"/>
      <c r="CC42" s="114"/>
      <c r="CD42" s="114"/>
      <c r="CE42" s="114"/>
      <c r="CF42" s="114"/>
    </row>
    <row r="43" spans="2:86" s="67" customFormat="1" ht="33.75" x14ac:dyDescent="0.2">
      <c r="B43" s="130" t="s">
        <v>143</v>
      </c>
      <c r="C43" s="130"/>
      <c r="D43" s="130"/>
      <c r="E43" s="130"/>
      <c r="F43" s="130"/>
      <c r="G43" s="130"/>
      <c r="H43" s="131">
        <v>1.6</v>
      </c>
      <c r="I43" s="131">
        <v>60</v>
      </c>
      <c r="J43" s="138">
        <v>0.25</v>
      </c>
      <c r="K43" s="131">
        <v>70</v>
      </c>
      <c r="L43" s="133">
        <v>0.8</v>
      </c>
      <c r="M43" s="139">
        <v>0.6</v>
      </c>
      <c r="N43" s="135"/>
      <c r="O43" s="135"/>
      <c r="P43" s="135"/>
      <c r="Q43" s="137"/>
      <c r="R43" s="137"/>
      <c r="S43" s="114"/>
      <c r="T43" s="114"/>
      <c r="U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R43" s="114"/>
      <c r="BS43" s="114"/>
      <c r="BT43" s="114"/>
      <c r="BU43" s="114"/>
      <c r="BV43" s="114"/>
      <c r="BW43" s="104">
        <v>0</v>
      </c>
      <c r="BX43" s="123">
        <f t="shared" si="64"/>
        <v>0</v>
      </c>
      <c r="BY43" s="129">
        <f t="shared" si="65"/>
        <v>0</v>
      </c>
      <c r="BZ43" s="114"/>
      <c r="CA43" s="114"/>
      <c r="CB43" s="114"/>
      <c r="CC43" s="114"/>
      <c r="CD43" s="114"/>
      <c r="CE43" s="114"/>
      <c r="CF43" s="114"/>
    </row>
    <row r="44" spans="2:86" s="67" customFormat="1" ht="33.75" x14ac:dyDescent="0.2">
      <c r="B44" s="130" t="s">
        <v>145</v>
      </c>
      <c r="C44" s="130"/>
      <c r="D44" s="130"/>
      <c r="E44" s="130"/>
      <c r="F44" s="130"/>
      <c r="G44" s="130"/>
      <c r="H44" s="131"/>
      <c r="I44" s="131"/>
      <c r="J44" s="138"/>
      <c r="K44" s="131">
        <v>4.2</v>
      </c>
      <c r="L44" s="133">
        <v>1</v>
      </c>
      <c r="M44" s="139"/>
      <c r="Q44" s="118"/>
      <c r="R44" s="118"/>
      <c r="BW44" s="104">
        <v>3352</v>
      </c>
      <c r="BX44" s="123">
        <f t="shared" si="64"/>
        <v>1639.1279999999999</v>
      </c>
      <c r="BY44" s="129">
        <f t="shared" si="65"/>
        <v>2950.4304000000002</v>
      </c>
    </row>
    <row r="45" spans="2:86" s="67" customFormat="1" ht="33.75" x14ac:dyDescent="0.2">
      <c r="B45" s="130" t="s">
        <v>146</v>
      </c>
      <c r="C45" s="130"/>
      <c r="D45" s="130"/>
      <c r="E45" s="130"/>
      <c r="F45" s="130"/>
      <c r="G45" s="130"/>
      <c r="H45" s="131"/>
      <c r="I45" s="131"/>
      <c r="J45" s="138"/>
      <c r="K45" s="131"/>
      <c r="L45" s="133"/>
      <c r="M45" s="139"/>
      <c r="Q45" s="118"/>
      <c r="R45" s="118"/>
      <c r="BW45" s="104">
        <v>725</v>
      </c>
      <c r="BX45" s="123">
        <f t="shared" si="64"/>
        <v>354.52499999999998</v>
      </c>
      <c r="BY45" s="129">
        <f t="shared" si="65"/>
        <v>638.14499999999998</v>
      </c>
    </row>
    <row r="46" spans="2:86" s="67" customFormat="1" ht="33.75" x14ac:dyDescent="0.2">
      <c r="B46" s="130" t="s">
        <v>170</v>
      </c>
      <c r="C46" s="130"/>
      <c r="D46" s="130"/>
      <c r="E46" s="130"/>
      <c r="F46" s="130"/>
      <c r="G46" s="130"/>
      <c r="H46" s="131">
        <v>0</v>
      </c>
      <c r="I46" s="131">
        <v>0</v>
      </c>
      <c r="J46" s="138">
        <v>0</v>
      </c>
      <c r="K46" s="131">
        <v>9</v>
      </c>
      <c r="L46" s="133">
        <v>0.9</v>
      </c>
      <c r="M46" s="139">
        <v>1</v>
      </c>
      <c r="Q46" s="118"/>
      <c r="R46" s="118"/>
      <c r="BW46" s="104">
        <v>5449</v>
      </c>
      <c r="BX46" s="123">
        <f t="shared" si="64"/>
        <v>2664.5610000000001</v>
      </c>
      <c r="BY46" s="129">
        <f t="shared" si="65"/>
        <v>4796.2098000000005</v>
      </c>
    </row>
    <row r="47" spans="2:86" ht="33.75" x14ac:dyDescent="0.2">
      <c r="B47" s="130" t="s">
        <v>171</v>
      </c>
      <c r="C47" s="130"/>
      <c r="D47" s="130"/>
      <c r="E47" s="130"/>
      <c r="F47" s="130"/>
      <c r="G47" s="130"/>
      <c r="H47" s="131">
        <v>0</v>
      </c>
      <c r="I47" s="131">
        <v>0</v>
      </c>
      <c r="J47" s="138">
        <v>0</v>
      </c>
      <c r="K47" s="131">
        <v>1.9</v>
      </c>
      <c r="L47" s="133">
        <v>1</v>
      </c>
      <c r="M47" s="139">
        <v>1</v>
      </c>
      <c r="BW47" s="104">
        <v>3166</v>
      </c>
      <c r="BX47" s="123">
        <f t="shared" si="64"/>
        <v>1548.174</v>
      </c>
      <c r="BY47" s="129">
        <f t="shared" si="65"/>
        <v>2786.7132000000001</v>
      </c>
    </row>
    <row r="48" spans="2:86" ht="26.25" x14ac:dyDescent="0.2">
      <c r="BW48" s="104">
        <v>250</v>
      </c>
      <c r="BX48" s="123">
        <f t="shared" si="64"/>
        <v>122.25</v>
      </c>
      <c r="BY48" s="129">
        <f t="shared" si="65"/>
        <v>220.05</v>
      </c>
    </row>
    <row r="49" spans="75:77" ht="26.25" x14ac:dyDescent="0.2">
      <c r="BW49" s="104">
        <v>2330</v>
      </c>
      <c r="BX49" s="123">
        <f t="shared" si="64"/>
        <v>1139.3699999999999</v>
      </c>
      <c r="BY49" s="129">
        <f t="shared" si="65"/>
        <v>2050.866</v>
      </c>
    </row>
    <row r="50" spans="75:77" ht="26.25" x14ac:dyDescent="0.2">
      <c r="BW50" s="104">
        <v>2378</v>
      </c>
      <c r="BX50" s="123">
        <f t="shared" si="64"/>
        <v>1162.8419999999999</v>
      </c>
      <c r="BY50" s="129">
        <f t="shared" si="65"/>
        <v>2093.1156000000001</v>
      </c>
    </row>
    <row r="51" spans="75:77" ht="26.25" x14ac:dyDescent="0.2">
      <c r="BW51" s="104">
        <v>290</v>
      </c>
      <c r="BX51" s="123">
        <f t="shared" si="64"/>
        <v>141.81</v>
      </c>
      <c r="BY51" s="129">
        <f t="shared" si="65"/>
        <v>255.25800000000001</v>
      </c>
    </row>
    <row r="52" spans="75:77" ht="26.25" x14ac:dyDescent="0.2">
      <c r="BW52" s="104">
        <v>676</v>
      </c>
      <c r="BX52" s="123">
        <f t="shared" si="64"/>
        <v>330.56400000000002</v>
      </c>
      <c r="BY52" s="129">
        <f t="shared" si="65"/>
        <v>595.01520000000016</v>
      </c>
    </row>
    <row r="53" spans="75:77" ht="26.25" x14ac:dyDescent="0.2">
      <c r="BW53" s="104">
        <v>1057</v>
      </c>
      <c r="BX53" s="123">
        <f t="shared" si="64"/>
        <v>516.87299999999993</v>
      </c>
      <c r="BY53" s="129">
        <f t="shared" si="65"/>
        <v>930.37139999999988</v>
      </c>
    </row>
    <row r="54" spans="75:77" ht="26.25" x14ac:dyDescent="0.2">
      <c r="BW54" s="104">
        <v>1373</v>
      </c>
      <c r="BX54" s="123">
        <f t="shared" si="64"/>
        <v>671.39699999999993</v>
      </c>
      <c r="BY54" s="129">
        <f t="shared" si="65"/>
        <v>1208.5146000000002</v>
      </c>
    </row>
    <row r="55" spans="75:77" ht="26.25" x14ac:dyDescent="0.2">
      <c r="BW55" s="104">
        <v>802</v>
      </c>
      <c r="BX55" s="123">
        <f t="shared" si="64"/>
        <v>392.178</v>
      </c>
      <c r="BY55" s="129">
        <f t="shared" si="65"/>
        <v>705.92039999999997</v>
      </c>
    </row>
    <row r="56" spans="75:77" ht="26.25" x14ac:dyDescent="0.2">
      <c r="BW56" s="104">
        <v>2261</v>
      </c>
      <c r="BX56" s="123">
        <f t="shared" si="64"/>
        <v>1105.6289999999999</v>
      </c>
      <c r="BY56" s="129">
        <f t="shared" si="65"/>
        <v>1990.1322</v>
      </c>
    </row>
    <row r="57" spans="75:77" ht="26.25" x14ac:dyDescent="0.2">
      <c r="BW57" s="104">
        <v>1913</v>
      </c>
      <c r="BX57" s="123">
        <f t="shared" si="64"/>
        <v>935.45699999999999</v>
      </c>
      <c r="BY57" s="129">
        <f t="shared" si="65"/>
        <v>1683.8226000000004</v>
      </c>
    </row>
    <row r="58" spans="75:77" ht="26.25" x14ac:dyDescent="0.2">
      <c r="BW58" s="105">
        <v>0</v>
      </c>
      <c r="BX58" s="123">
        <f t="shared" si="64"/>
        <v>0</v>
      </c>
      <c r="BY58" s="129">
        <f t="shared" si="65"/>
        <v>0</v>
      </c>
    </row>
    <row r="59" spans="75:77" ht="26.25" x14ac:dyDescent="0.2">
      <c r="BW59" s="104">
        <v>705</v>
      </c>
      <c r="BX59" s="123">
        <f t="shared" si="64"/>
        <v>344.745</v>
      </c>
      <c r="BY59" s="129">
        <f t="shared" si="65"/>
        <v>620.54100000000005</v>
      </c>
    </row>
    <row r="60" spans="75:77" ht="26.25" x14ac:dyDescent="0.2">
      <c r="BW60" s="104">
        <v>115</v>
      </c>
      <c r="BX60" s="123">
        <f t="shared" si="64"/>
        <v>56.234999999999999</v>
      </c>
      <c r="BY60" s="129">
        <f t="shared" si="65"/>
        <v>101.22300000000001</v>
      </c>
    </row>
    <row r="61" spans="75:77" ht="26.25" x14ac:dyDescent="0.2">
      <c r="BW61" s="104">
        <v>375</v>
      </c>
      <c r="BX61" s="123">
        <f t="shared" si="64"/>
        <v>183.375</v>
      </c>
      <c r="BY61" s="129">
        <f t="shared" si="65"/>
        <v>330.07500000000005</v>
      </c>
    </row>
    <row r="62" spans="75:77" ht="26.25" x14ac:dyDescent="0.2">
      <c r="BW62" s="104">
        <v>336</v>
      </c>
      <c r="BX62" s="123">
        <f t="shared" si="64"/>
        <v>164.304</v>
      </c>
      <c r="BY62" s="129">
        <f t="shared" si="65"/>
        <v>295.74720000000002</v>
      </c>
    </row>
    <row r="63" spans="75:77" ht="26.25" x14ac:dyDescent="0.2">
      <c r="BW63" s="104">
        <v>792</v>
      </c>
      <c r="BX63" s="123">
        <f t="shared" si="64"/>
        <v>387.28800000000001</v>
      </c>
      <c r="BY63" s="129">
        <f t="shared" si="65"/>
        <v>697.11840000000007</v>
      </c>
    </row>
    <row r="64" spans="75:77" ht="26.25" x14ac:dyDescent="0.2">
      <c r="BW64" s="104">
        <f>SUM(BW37:BW63)</f>
        <v>44989</v>
      </c>
      <c r="BX64" s="123">
        <f t="shared" si="64"/>
        <v>21999.620999999999</v>
      </c>
      <c r="BY64" s="129">
        <f t="shared" si="65"/>
        <v>39599.317800000004</v>
      </c>
    </row>
  </sheetData>
  <mergeCells count="88">
    <mergeCell ref="A32:B32"/>
    <mergeCell ref="AE32:AF32"/>
    <mergeCell ref="AW32:AX32"/>
    <mergeCell ref="BQ32:BR32"/>
    <mergeCell ref="CI32:CJ32"/>
    <mergeCell ref="B36:B37"/>
    <mergeCell ref="H36:J36"/>
    <mergeCell ref="K36:M36"/>
    <mergeCell ref="DA2:DA3"/>
    <mergeCell ref="K3:K4"/>
    <mergeCell ref="L3:L4"/>
    <mergeCell ref="M3:M4"/>
    <mergeCell ref="N3:O3"/>
    <mergeCell ref="P3:Q3"/>
    <mergeCell ref="R3:S3"/>
    <mergeCell ref="T3:U3"/>
    <mergeCell ref="V3:W3"/>
    <mergeCell ref="X3:Y3"/>
    <mergeCell ref="CQ2:CS2"/>
    <mergeCell ref="CT2:CV2"/>
    <mergeCell ref="CW2:CW3"/>
    <mergeCell ref="CX2:CX3"/>
    <mergeCell ref="CY2:CY3"/>
    <mergeCell ref="CZ2:CZ3"/>
    <mergeCell ref="CI2:CI3"/>
    <mergeCell ref="CJ2:CJ3"/>
    <mergeCell ref="CK2:CK3"/>
    <mergeCell ref="CL2:CL3"/>
    <mergeCell ref="CM2:CM3"/>
    <mergeCell ref="CN2:CP2"/>
    <mergeCell ref="CH2:CH3"/>
    <mergeCell ref="BQ2:BQ3"/>
    <mergeCell ref="BR2:BR3"/>
    <mergeCell ref="BS2:BS3"/>
    <mergeCell ref="BT2:BT3"/>
    <mergeCell ref="BU2:BU3"/>
    <mergeCell ref="BV2:BX2"/>
    <mergeCell ref="BY2:CA2"/>
    <mergeCell ref="CB2:CD2"/>
    <mergeCell ref="CE2:CE3"/>
    <mergeCell ref="CF2:CF3"/>
    <mergeCell ref="CG2:CG3"/>
    <mergeCell ref="BN2:BN3"/>
    <mergeCell ref="AW2:AW3"/>
    <mergeCell ref="AX2:AX3"/>
    <mergeCell ref="AY2:AY3"/>
    <mergeCell ref="AZ2:AZ3"/>
    <mergeCell ref="BA2:BA3"/>
    <mergeCell ref="BB2:BD2"/>
    <mergeCell ref="BE2:BG2"/>
    <mergeCell ref="BH2:BJ2"/>
    <mergeCell ref="BK2:BK3"/>
    <mergeCell ref="BL2:BL3"/>
    <mergeCell ref="BM2:BM3"/>
    <mergeCell ref="AV2:AV3"/>
    <mergeCell ref="AE2:AE3"/>
    <mergeCell ref="AF2:AF3"/>
    <mergeCell ref="AG2:AG3"/>
    <mergeCell ref="AH2:AH3"/>
    <mergeCell ref="AI2:AI3"/>
    <mergeCell ref="AJ2:AL2"/>
    <mergeCell ref="AM2:AO2"/>
    <mergeCell ref="AP2:AR2"/>
    <mergeCell ref="AS2:AS3"/>
    <mergeCell ref="AT2:AT3"/>
    <mergeCell ref="AU2:AU3"/>
    <mergeCell ref="AC2:AC4"/>
    <mergeCell ref="F2:F4"/>
    <mergeCell ref="G2:G4"/>
    <mergeCell ref="H2:H4"/>
    <mergeCell ref="I2:I4"/>
    <mergeCell ref="J2:J4"/>
    <mergeCell ref="K2:M2"/>
    <mergeCell ref="N2:S2"/>
    <mergeCell ref="T2:Y2"/>
    <mergeCell ref="Z2:Z4"/>
    <mergeCell ref="AA2:AA4"/>
    <mergeCell ref="AB2:AB4"/>
    <mergeCell ref="A1:AC1"/>
    <mergeCell ref="AE1:AV1"/>
    <mergeCell ref="AW1:BN1"/>
    <mergeCell ref="BQ1:CH1"/>
    <mergeCell ref="CI1:CZ1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workbookViewId="0">
      <selection activeCell="H28" sqref="H28"/>
    </sheetView>
  </sheetViews>
  <sheetFormatPr defaultRowHeight="14.25" x14ac:dyDescent="0.2"/>
  <sheetData>
    <row r="1" spans="1:10" ht="22.5" x14ac:dyDescent="0.6">
      <c r="A1" s="146" t="s">
        <v>77</v>
      </c>
      <c r="B1" s="146"/>
      <c r="C1" s="146"/>
      <c r="D1" s="146"/>
      <c r="E1" s="146"/>
      <c r="F1" s="146"/>
      <c r="G1" s="146"/>
      <c r="H1" s="146"/>
      <c r="I1" s="146"/>
    </row>
    <row r="2" spans="1:10" ht="22.5" x14ac:dyDescent="0.6">
      <c r="A2" s="22" t="s">
        <v>15</v>
      </c>
      <c r="B2" s="22" t="s">
        <v>1</v>
      </c>
      <c r="C2" s="22" t="s">
        <v>78</v>
      </c>
      <c r="D2" s="22" t="s">
        <v>79</v>
      </c>
      <c r="E2" s="22" t="s">
        <v>80</v>
      </c>
      <c r="F2" s="22" t="s">
        <v>81</v>
      </c>
      <c r="G2" s="22" t="s">
        <v>82</v>
      </c>
      <c r="H2" s="22" t="s">
        <v>83</v>
      </c>
      <c r="I2" s="22" t="s">
        <v>84</v>
      </c>
      <c r="J2" s="22" t="s">
        <v>85</v>
      </c>
    </row>
    <row r="3" spans="1:10" ht="22.5" x14ac:dyDescent="0.6">
      <c r="A3" s="22">
        <v>1</v>
      </c>
      <c r="B3" s="22" t="s">
        <v>27</v>
      </c>
      <c r="C3" s="23">
        <v>10.051746656638704</v>
      </c>
      <c r="D3" s="23">
        <v>1.5304133922550791</v>
      </c>
      <c r="E3" s="23">
        <v>93.333904819130055</v>
      </c>
      <c r="F3" s="23">
        <v>227.35302099303402</v>
      </c>
      <c r="G3" s="23">
        <v>6.0164879436734688</v>
      </c>
      <c r="H3" s="23">
        <v>38.890269978551693</v>
      </c>
      <c r="I3" s="23">
        <v>0</v>
      </c>
      <c r="J3" s="23">
        <v>377.17584378328303</v>
      </c>
    </row>
    <row r="4" spans="1:10" ht="22.5" x14ac:dyDescent="0.6">
      <c r="A4" s="22">
        <v>2</v>
      </c>
      <c r="B4" s="22" t="s">
        <v>28</v>
      </c>
      <c r="C4" s="23">
        <v>53.564831440211726</v>
      </c>
      <c r="D4" s="23">
        <v>39.893510884591358</v>
      </c>
      <c r="E4" s="23">
        <v>47.642972732320551</v>
      </c>
      <c r="F4" s="23">
        <v>66.620003968299599</v>
      </c>
      <c r="G4" s="23">
        <v>0</v>
      </c>
      <c r="H4" s="23">
        <v>0</v>
      </c>
      <c r="I4" s="23">
        <v>1.3379992940024255</v>
      </c>
      <c r="J4" s="23">
        <v>209.05931831942567</v>
      </c>
    </row>
    <row r="5" spans="1:10" ht="22.5" x14ac:dyDescent="0.6">
      <c r="A5" s="22">
        <v>3</v>
      </c>
      <c r="B5" s="22" t="s">
        <v>29</v>
      </c>
      <c r="C5" s="23">
        <v>220.81382525770351</v>
      </c>
      <c r="D5" s="23">
        <v>100.76419910632686</v>
      </c>
      <c r="E5" s="23">
        <v>158.56930388347604</v>
      </c>
      <c r="F5" s="23">
        <v>156.41113052342919</v>
      </c>
      <c r="G5" s="23">
        <v>24.065951774693875</v>
      </c>
      <c r="H5" s="23">
        <v>5.4889234292101836</v>
      </c>
      <c r="I5" s="23">
        <v>7.859169167091836</v>
      </c>
      <c r="J5" s="23">
        <v>673.97250314193138</v>
      </c>
    </row>
    <row r="6" spans="1:10" ht="22.5" x14ac:dyDescent="0.6">
      <c r="A6" s="22">
        <v>4</v>
      </c>
      <c r="B6" s="22" t="s">
        <v>30</v>
      </c>
      <c r="C6" s="23">
        <v>544.54917965556012</v>
      </c>
      <c r="D6" s="23">
        <v>374.85237882994875</v>
      </c>
      <c r="E6" s="23">
        <v>102.76981404877084</v>
      </c>
      <c r="F6" s="23">
        <v>60.530623267580957</v>
      </c>
      <c r="G6" s="23">
        <v>0</v>
      </c>
      <c r="H6" s="23">
        <v>0</v>
      </c>
      <c r="I6" s="23">
        <v>0</v>
      </c>
      <c r="J6" s="23">
        <v>1082.7019958018607</v>
      </c>
    </row>
    <row r="7" spans="1:10" ht="22.5" x14ac:dyDescent="0.6">
      <c r="A7" s="22">
        <v>5</v>
      </c>
      <c r="B7" s="22" t="s">
        <v>31</v>
      </c>
      <c r="C7" s="23">
        <v>897.09030682219532</v>
      </c>
      <c r="D7" s="23">
        <v>337.66035380395181</v>
      </c>
      <c r="E7" s="23">
        <v>248.74503235293116</v>
      </c>
      <c r="F7" s="23">
        <v>214.94424322318008</v>
      </c>
      <c r="G7" s="23">
        <v>18.049463831020407</v>
      </c>
      <c r="H7" s="23">
        <v>71.047151870805294</v>
      </c>
      <c r="I7" s="23">
        <v>0</v>
      </c>
      <c r="J7" s="23">
        <v>1787.536551904084</v>
      </c>
    </row>
    <row r="8" spans="1:10" ht="22.5" x14ac:dyDescent="0.6">
      <c r="A8" s="22">
        <v>6</v>
      </c>
      <c r="B8" s="22" t="s">
        <v>32</v>
      </c>
      <c r="C8" s="23">
        <v>699.66635456059078</v>
      </c>
      <c r="D8" s="23">
        <v>74.789754046228168</v>
      </c>
      <c r="E8" s="23">
        <v>740.35920141151814</v>
      </c>
      <c r="F8" s="23">
        <v>884.39672178338424</v>
      </c>
      <c r="G8" s="23">
        <v>42.115415605714283</v>
      </c>
      <c r="H8" s="23">
        <v>338.99135440952136</v>
      </c>
      <c r="I8" s="23">
        <v>1.8033260091593692</v>
      </c>
      <c r="J8" s="23">
        <v>2782.1221278261164</v>
      </c>
    </row>
    <row r="9" spans="1:10" ht="22.5" x14ac:dyDescent="0.6">
      <c r="A9" s="22">
        <v>7</v>
      </c>
      <c r="B9" s="22" t="s">
        <v>33</v>
      </c>
      <c r="C9" s="23">
        <v>1455.6153500902833</v>
      </c>
      <c r="D9" s="23">
        <v>1354.8547692911375</v>
      </c>
      <c r="E9" s="23">
        <v>958.12157376484254</v>
      </c>
      <c r="F9" s="23">
        <v>341.45324585242423</v>
      </c>
      <c r="G9" s="23">
        <v>60.164879436734701</v>
      </c>
      <c r="H9" s="23">
        <v>43.606179073716476</v>
      </c>
      <c r="I9" s="23">
        <v>0</v>
      </c>
      <c r="J9" s="23">
        <v>4213.8159975091385</v>
      </c>
    </row>
    <row r="10" spans="1:10" ht="22.5" x14ac:dyDescent="0.6">
      <c r="A10" s="22">
        <v>8</v>
      </c>
      <c r="B10" s="22" t="s">
        <v>34</v>
      </c>
      <c r="C10" s="23">
        <v>381.99247717054959</v>
      </c>
      <c r="D10" s="23">
        <v>434.64435934038687</v>
      </c>
      <c r="E10" s="23">
        <v>298.68523317594725</v>
      </c>
      <c r="F10" s="23">
        <v>151.81080315509305</v>
      </c>
      <c r="G10" s="23">
        <v>240.6595177469388</v>
      </c>
      <c r="H10" s="23">
        <v>0</v>
      </c>
      <c r="I10" s="23">
        <v>0</v>
      </c>
      <c r="J10" s="23">
        <v>1507.7923905889156</v>
      </c>
    </row>
    <row r="11" spans="1:10" ht="22.5" x14ac:dyDescent="0.6">
      <c r="A11" s="22">
        <v>9</v>
      </c>
      <c r="B11" s="22" t="s">
        <v>35</v>
      </c>
      <c r="C11" s="23">
        <v>328.35691597684655</v>
      </c>
      <c r="D11" s="23">
        <v>28.717387517495307</v>
      </c>
      <c r="E11" s="23">
        <v>242.20367983595088</v>
      </c>
      <c r="F11" s="23">
        <v>328.51179859781541</v>
      </c>
      <c r="G11" s="23">
        <v>12.032975887346938</v>
      </c>
      <c r="H11" s="23">
        <v>181.56293676013703</v>
      </c>
      <c r="I11" s="23">
        <v>1.5795959758056188</v>
      </c>
      <c r="J11" s="23">
        <v>1122.9652905513979</v>
      </c>
    </row>
    <row r="12" spans="1:10" ht="22.5" x14ac:dyDescent="0.6">
      <c r="A12" s="22">
        <v>10</v>
      </c>
      <c r="B12" s="22" t="s">
        <v>36</v>
      </c>
      <c r="C12" s="23">
        <v>425.24140177326547</v>
      </c>
      <c r="D12" s="23">
        <v>348.55300929275006</v>
      </c>
      <c r="E12" s="23">
        <v>480.57903321882469</v>
      </c>
      <c r="F12" s="23">
        <v>587.99447442128144</v>
      </c>
      <c r="G12" s="23">
        <v>270.74195746530614</v>
      </c>
      <c r="H12" s="23">
        <v>5.2984421717759993</v>
      </c>
      <c r="I12" s="23">
        <v>9.4504083564783361</v>
      </c>
      <c r="J12" s="23">
        <v>2127.8587266996819</v>
      </c>
    </row>
    <row r="13" spans="1:10" ht="22.5" x14ac:dyDescent="0.6">
      <c r="A13" s="22">
        <v>11</v>
      </c>
      <c r="B13" s="22" t="s">
        <v>37</v>
      </c>
      <c r="C13" s="23">
        <v>292.52546669923555</v>
      </c>
      <c r="D13" s="23">
        <v>46.940468370575182</v>
      </c>
      <c r="E13" s="23">
        <v>169.95097710060381</v>
      </c>
      <c r="F13" s="23">
        <v>146.96835329368659</v>
      </c>
      <c r="G13" s="23">
        <v>0</v>
      </c>
      <c r="H13" s="23">
        <v>0</v>
      </c>
      <c r="I13" s="23">
        <v>0</v>
      </c>
      <c r="J13" s="23">
        <v>656.38526546410117</v>
      </c>
    </row>
    <row r="14" spans="1:10" ht="22.5" x14ac:dyDescent="0.6">
      <c r="A14" s="22">
        <v>12</v>
      </c>
      <c r="B14" s="22" t="s">
        <v>38</v>
      </c>
      <c r="C14" s="23">
        <v>346.02358524387989</v>
      </c>
      <c r="D14" s="23">
        <v>12.20259444049757</v>
      </c>
      <c r="E14" s="23">
        <v>117.53713597727308</v>
      </c>
      <c r="F14" s="23">
        <v>257.04614292149398</v>
      </c>
      <c r="G14" s="23">
        <v>6.0164879436734688</v>
      </c>
      <c r="H14" s="23">
        <v>132.46105429440001</v>
      </c>
      <c r="I14" s="23">
        <v>6.0176204870861554</v>
      </c>
      <c r="J14" s="23">
        <v>877.30462130830426</v>
      </c>
    </row>
    <row r="15" spans="1:10" ht="22.5" x14ac:dyDescent="0.6">
      <c r="A15" s="22">
        <v>13</v>
      </c>
      <c r="B15" s="22" t="s">
        <v>39</v>
      </c>
      <c r="C15" s="23">
        <v>57.354104461376323</v>
      </c>
      <c r="D15" s="23">
        <v>35.228479923756133</v>
      </c>
      <c r="E15" s="23">
        <v>118.87878996883455</v>
      </c>
      <c r="F15" s="23">
        <v>306.58367629034507</v>
      </c>
      <c r="G15" s="23">
        <v>6.0164879436734688</v>
      </c>
      <c r="H15" s="23">
        <v>52.98442171776</v>
      </c>
      <c r="I15" s="23">
        <v>0</v>
      </c>
      <c r="J15" s="23">
        <v>577.04596030574555</v>
      </c>
    </row>
    <row r="16" spans="1:10" ht="22.5" x14ac:dyDescent="0.6">
      <c r="A16" s="22">
        <v>14</v>
      </c>
      <c r="B16" s="22" t="s">
        <v>40</v>
      </c>
      <c r="C16" s="23">
        <v>1591.1980965025998</v>
      </c>
      <c r="D16" s="23">
        <v>655.99097668630486</v>
      </c>
      <c r="E16" s="23">
        <v>357.66084695276601</v>
      </c>
      <c r="F16" s="23">
        <v>625.5839914704494</v>
      </c>
      <c r="G16" s="23">
        <v>54.148391493061233</v>
      </c>
      <c r="H16" s="23">
        <v>654.63328236164045</v>
      </c>
      <c r="I16" s="23">
        <v>0</v>
      </c>
      <c r="J16" s="23">
        <v>3939.2155854668217</v>
      </c>
    </row>
    <row r="17" spans="1:10" ht="22.5" x14ac:dyDescent="0.6">
      <c r="A17" s="22">
        <v>15</v>
      </c>
      <c r="B17" s="22" t="s">
        <v>41</v>
      </c>
      <c r="C17" s="23">
        <v>777.21425250094785</v>
      </c>
      <c r="D17" s="23">
        <v>8.8567504761248337</v>
      </c>
      <c r="E17" s="23">
        <v>470.43551891014107</v>
      </c>
      <c r="F17" s="23">
        <v>657.18097681612653</v>
      </c>
      <c r="G17" s="23">
        <v>12.032975887346938</v>
      </c>
      <c r="H17" s="23">
        <v>589.74739799070778</v>
      </c>
      <c r="I17" s="23">
        <v>12.225374259920638</v>
      </c>
      <c r="J17" s="23">
        <v>2527.6932468413161</v>
      </c>
    </row>
    <row r="18" spans="1:10" ht="22.5" x14ac:dyDescent="0.6">
      <c r="A18" s="22">
        <v>16</v>
      </c>
      <c r="B18" s="22" t="s">
        <v>42</v>
      </c>
      <c r="C18" s="23">
        <v>358.36281764910137</v>
      </c>
      <c r="D18" s="23">
        <v>16.59831186779854</v>
      </c>
      <c r="E18" s="23">
        <v>91.597362765781483</v>
      </c>
      <c r="F18" s="23">
        <v>270.26923288974899</v>
      </c>
      <c r="G18" s="23">
        <v>0</v>
      </c>
      <c r="H18" s="23">
        <v>0</v>
      </c>
      <c r="I18" s="23">
        <v>3.8810711936255999</v>
      </c>
      <c r="J18" s="23">
        <v>740.70879636605605</v>
      </c>
    </row>
    <row r="19" spans="1:10" ht="22.5" x14ac:dyDescent="0.6">
      <c r="A19" s="22">
        <v>17</v>
      </c>
      <c r="B19" s="22" t="s">
        <v>43</v>
      </c>
      <c r="C19" s="23">
        <v>485.81887847379238</v>
      </c>
      <c r="D19" s="23">
        <v>35.615958280772105</v>
      </c>
      <c r="E19" s="23">
        <v>294.7675587083678</v>
      </c>
      <c r="F19" s="23">
        <v>644.4695459299345</v>
      </c>
      <c r="G19" s="23">
        <v>24.065951774693875</v>
      </c>
      <c r="H19" s="23">
        <v>54.832620643107909</v>
      </c>
      <c r="I19" s="23">
        <v>4.1527461771793908</v>
      </c>
      <c r="J19" s="23">
        <v>1543.723259987848</v>
      </c>
    </row>
    <row r="20" spans="1:10" ht="22.5" x14ac:dyDescent="0.6">
      <c r="A20" s="22">
        <v>18</v>
      </c>
      <c r="B20" s="22" t="s">
        <v>44</v>
      </c>
      <c r="C20" s="23">
        <v>228.78812599025844</v>
      </c>
      <c r="D20" s="23">
        <v>7.2979003485406908</v>
      </c>
      <c r="E20" s="23">
        <v>634.67473720876706</v>
      </c>
      <c r="F20" s="23">
        <v>619.16774540408562</v>
      </c>
      <c r="G20" s="23">
        <v>30.08243971836735</v>
      </c>
      <c r="H20" s="23">
        <v>556.33642803648002</v>
      </c>
      <c r="I20" s="23">
        <v>0</v>
      </c>
      <c r="J20" s="23">
        <v>2076.3473767064993</v>
      </c>
    </row>
    <row r="21" spans="1:10" ht="22.5" x14ac:dyDescent="0.6">
      <c r="A21" s="22">
        <v>19</v>
      </c>
      <c r="B21" s="22" t="s">
        <v>45</v>
      </c>
      <c r="C21" s="23">
        <v>1270.9531533112872</v>
      </c>
      <c r="D21" s="23">
        <v>80.074355391116356</v>
      </c>
      <c r="E21" s="23">
        <v>674.50106974626408</v>
      </c>
      <c r="F21" s="23">
        <v>878.29934361259984</v>
      </c>
      <c r="G21" s="23">
        <v>24.065951774693875</v>
      </c>
      <c r="H21" s="23">
        <v>478.90856919858851</v>
      </c>
      <c r="I21" s="23">
        <v>44.632318726694386</v>
      </c>
      <c r="J21" s="23">
        <v>3451.4347617612443</v>
      </c>
    </row>
    <row r="22" spans="1:10" ht="22.5" x14ac:dyDescent="0.6">
      <c r="A22" s="22">
        <v>20</v>
      </c>
      <c r="B22" s="22" t="s">
        <v>46</v>
      </c>
      <c r="C22" s="23">
        <v>571.17048449257925</v>
      </c>
      <c r="D22" s="23">
        <v>83.64088700493204</v>
      </c>
      <c r="E22" s="23">
        <v>447.38608585268202</v>
      </c>
      <c r="F22" s="23">
        <v>535.21177093195092</v>
      </c>
      <c r="G22" s="23">
        <v>12.032975887346938</v>
      </c>
      <c r="H22" s="23">
        <v>486.95483195277166</v>
      </c>
      <c r="I22" s="23">
        <v>0</v>
      </c>
      <c r="J22" s="23">
        <v>2136.3970361222628</v>
      </c>
    </row>
    <row r="23" spans="1:10" ht="22.5" x14ac:dyDescent="0.6">
      <c r="A23" s="22">
        <v>21</v>
      </c>
      <c r="B23" s="22" t="s">
        <v>47</v>
      </c>
      <c r="C23" s="23">
        <v>267.73772410291576</v>
      </c>
      <c r="D23" s="23">
        <v>27.877201583255452</v>
      </c>
      <c r="E23" s="23">
        <v>110.91838195501259</v>
      </c>
      <c r="F23" s="23">
        <v>172.60432968638364</v>
      </c>
      <c r="G23" s="23">
        <v>6.0164879436734688</v>
      </c>
      <c r="H23" s="23">
        <v>333.80185682188807</v>
      </c>
      <c r="I23" s="23">
        <v>0.25481780564208478</v>
      </c>
      <c r="J23" s="23">
        <v>919.21079989877103</v>
      </c>
    </row>
    <row r="24" spans="1:10" ht="22.5" x14ac:dyDescent="0.6">
      <c r="A24" s="22">
        <v>22</v>
      </c>
      <c r="B24" s="22" t="s">
        <v>48</v>
      </c>
      <c r="C24" s="23">
        <v>340.984863977327</v>
      </c>
      <c r="D24" s="23">
        <v>60.32396333509007</v>
      </c>
      <c r="E24" s="23">
        <v>57.633268844302023</v>
      </c>
      <c r="F24" s="23">
        <v>424.98550596168604</v>
      </c>
      <c r="G24" s="23">
        <v>9.0247319155102037</v>
      </c>
      <c r="H24" s="23">
        <v>80.320127688345664</v>
      </c>
      <c r="I24" s="23">
        <v>0</v>
      </c>
      <c r="J24" s="23">
        <v>973.27246172226103</v>
      </c>
    </row>
    <row r="25" spans="1:10" ht="22.5" x14ac:dyDescent="0.6">
      <c r="A25" s="22">
        <v>23</v>
      </c>
      <c r="B25" s="22" t="s">
        <v>49</v>
      </c>
      <c r="C25" s="23">
        <v>322.19142854080854</v>
      </c>
      <c r="D25" s="23">
        <v>257.879320539388</v>
      </c>
      <c r="E25" s="23">
        <v>107.85150737023581</v>
      </c>
      <c r="F25" s="23">
        <v>32.626005941226133</v>
      </c>
      <c r="G25" s="23">
        <v>0</v>
      </c>
      <c r="H25" s="23">
        <v>0</v>
      </c>
      <c r="I25" s="23">
        <v>0</v>
      </c>
      <c r="J25" s="23">
        <v>720.54826239165845</v>
      </c>
    </row>
    <row r="26" spans="1:10" ht="22.5" x14ac:dyDescent="0.6">
      <c r="A26" s="22">
        <v>24</v>
      </c>
      <c r="B26" s="22" t="s">
        <v>50</v>
      </c>
      <c r="C26" s="23">
        <v>997.18600259631057</v>
      </c>
      <c r="D26" s="23">
        <v>620.27678241075921</v>
      </c>
      <c r="E26" s="23">
        <v>362.73396642436109</v>
      </c>
      <c r="F26" s="23">
        <v>365.36284204311875</v>
      </c>
      <c r="G26" s="23">
        <v>24.065951774693875</v>
      </c>
      <c r="H26" s="23">
        <v>31.59249678289725</v>
      </c>
      <c r="I26" s="23">
        <v>0</v>
      </c>
      <c r="J26" s="23">
        <v>2401.2180420321406</v>
      </c>
    </row>
    <row r="27" spans="1:10" ht="22.5" x14ac:dyDescent="0.6">
      <c r="A27" s="22">
        <v>25</v>
      </c>
      <c r="B27" s="22" t="s">
        <v>51</v>
      </c>
      <c r="C27" s="23">
        <v>313.46673056682488</v>
      </c>
      <c r="D27" s="23">
        <v>68.583169253751947</v>
      </c>
      <c r="E27" s="23">
        <v>40.914461571544493</v>
      </c>
      <c r="F27" s="23">
        <v>266.6373954936941</v>
      </c>
      <c r="G27" s="23">
        <v>3.0082439718367344</v>
      </c>
      <c r="H27" s="23">
        <v>0</v>
      </c>
      <c r="I27" s="23">
        <v>0</v>
      </c>
      <c r="J27" s="23">
        <v>692.61000085765227</v>
      </c>
    </row>
    <row r="28" spans="1:10" ht="22.5" x14ac:dyDescent="0.6">
      <c r="A28" s="22">
        <v>26</v>
      </c>
      <c r="B28" s="22" t="s">
        <v>52</v>
      </c>
      <c r="C28" s="23">
        <v>217.92174311427391</v>
      </c>
      <c r="D28" s="23">
        <v>57.650350540829159</v>
      </c>
      <c r="E28" s="23">
        <v>102.37229237390792</v>
      </c>
      <c r="F28" s="23">
        <v>75.723809707743783</v>
      </c>
      <c r="G28" s="23">
        <v>0</v>
      </c>
      <c r="H28" s="23">
        <v>0</v>
      </c>
      <c r="I28" s="23">
        <v>16.669200776621945</v>
      </c>
      <c r="J28" s="23">
        <v>470.33739651337669</v>
      </c>
    </row>
    <row r="29" spans="1:10" ht="22.5" x14ac:dyDescent="0.6">
      <c r="A29" s="22">
        <v>27</v>
      </c>
      <c r="B29" s="22" t="s">
        <v>53</v>
      </c>
      <c r="C29" s="23">
        <v>303.11222399951902</v>
      </c>
      <c r="D29" s="23">
        <v>3.5416661273470571</v>
      </c>
      <c r="E29" s="23">
        <v>197.58919460028338</v>
      </c>
      <c r="F29" s="23">
        <v>243.15151366587276</v>
      </c>
      <c r="G29" s="23">
        <v>0</v>
      </c>
      <c r="H29" s="23">
        <v>159.24115357697272</v>
      </c>
      <c r="I29" s="23">
        <v>45.214479405738224</v>
      </c>
      <c r="J29" s="23">
        <v>951.85023137573307</v>
      </c>
    </row>
    <row r="30" spans="1:10" ht="22.5" x14ac:dyDescent="0.6">
      <c r="A30" s="22" t="s">
        <v>5</v>
      </c>
      <c r="B30" s="23"/>
      <c r="C30" s="23">
        <v>13758.952071626882</v>
      </c>
      <c r="D30" s="23">
        <v>5174.8392720859119</v>
      </c>
      <c r="E30" s="23">
        <v>7728.4129055748381</v>
      </c>
      <c r="F30" s="23">
        <v>9541.8982478456692</v>
      </c>
      <c r="G30" s="23">
        <v>884.42372772000022</v>
      </c>
      <c r="H30" s="23">
        <v>4296.699498759278</v>
      </c>
      <c r="I30" s="23">
        <v>155.07812763504603</v>
      </c>
      <c r="J30" s="23">
        <v>41540.303851247634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workbookViewId="0">
      <selection activeCell="I9" sqref="I9"/>
    </sheetView>
  </sheetViews>
  <sheetFormatPr defaultRowHeight="14.25" x14ac:dyDescent="0.2"/>
  <sheetData>
    <row r="1" spans="1:10" ht="22.5" x14ac:dyDescent="0.6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x14ac:dyDescent="0.6">
      <c r="A2" s="23" t="s">
        <v>15</v>
      </c>
      <c r="B2" s="23" t="s">
        <v>1</v>
      </c>
      <c r="C2" s="23" t="s">
        <v>87</v>
      </c>
      <c r="D2" s="23" t="s">
        <v>88</v>
      </c>
      <c r="E2" s="23" t="s">
        <v>89</v>
      </c>
      <c r="F2" s="23" t="s">
        <v>90</v>
      </c>
      <c r="G2" s="23" t="s">
        <v>91</v>
      </c>
      <c r="H2" s="23" t="s">
        <v>92</v>
      </c>
      <c r="I2" s="23" t="s">
        <v>93</v>
      </c>
      <c r="J2" s="23" t="s">
        <v>85</v>
      </c>
    </row>
    <row r="3" spans="1:10" ht="22.5" x14ac:dyDescent="0.6">
      <c r="A3" s="23">
        <v>1</v>
      </c>
      <c r="B3" s="23" t="s">
        <v>27</v>
      </c>
      <c r="C3" s="23">
        <v>15.610995670362096</v>
      </c>
      <c r="D3" s="23">
        <v>4.8670068105717368</v>
      </c>
      <c r="E3" s="23">
        <v>487.45120700659879</v>
      </c>
      <c r="F3" s="23">
        <v>3141.1593596901657</v>
      </c>
      <c r="G3" s="23">
        <v>305.55923287163608</v>
      </c>
      <c r="H3" s="23">
        <v>515.60045090121423</v>
      </c>
      <c r="I3" s="23">
        <v>0</v>
      </c>
      <c r="J3" s="23">
        <v>4470.2482529505487</v>
      </c>
    </row>
    <row r="4" spans="1:10" ht="22.5" x14ac:dyDescent="0.6">
      <c r="A4" s="23">
        <v>2</v>
      </c>
      <c r="B4" s="23" t="s">
        <v>29</v>
      </c>
      <c r="C4" s="23">
        <v>83.189557025350396</v>
      </c>
      <c r="D4" s="23">
        <v>126.86898203813035</v>
      </c>
      <c r="E4" s="23">
        <v>248.8230253385062</v>
      </c>
      <c r="F4" s="23">
        <v>920.43663239483396</v>
      </c>
      <c r="G4" s="23">
        <v>0</v>
      </c>
      <c r="H4" s="23">
        <v>0</v>
      </c>
      <c r="I4" s="23">
        <v>1.0060145067687409</v>
      </c>
      <c r="J4" s="23">
        <v>1380.3242113035897</v>
      </c>
    </row>
    <row r="5" spans="1:10" ht="22.5" x14ac:dyDescent="0.6">
      <c r="A5" s="23">
        <v>3</v>
      </c>
      <c r="B5" s="23" t="s">
        <v>28</v>
      </c>
      <c r="C5" s="23">
        <v>342.93777865734802</v>
      </c>
      <c r="D5" s="23">
        <v>320.4493934737859</v>
      </c>
      <c r="E5" s="23">
        <v>828.15348529545213</v>
      </c>
      <c r="F5" s="23">
        <v>2161.0105925024995</v>
      </c>
      <c r="G5" s="23">
        <v>1222.2369314865443</v>
      </c>
      <c r="H5" s="23">
        <v>72.771194353338998</v>
      </c>
      <c r="I5" s="23">
        <v>5.9091497496931096</v>
      </c>
      <c r="J5" s="23">
        <v>4953.4685255186614</v>
      </c>
    </row>
    <row r="6" spans="1:10" ht="22.5" x14ac:dyDescent="0.6">
      <c r="A6" s="23">
        <v>4</v>
      </c>
      <c r="B6" s="23" t="s">
        <v>30</v>
      </c>
      <c r="C6" s="23">
        <v>845.7191746160554</v>
      </c>
      <c r="D6" s="23">
        <v>1192.1021404785879</v>
      </c>
      <c r="E6" s="23">
        <v>536.7317482215675</v>
      </c>
      <c r="F6" s="23">
        <v>836.30440886319639</v>
      </c>
      <c r="G6" s="23">
        <v>0</v>
      </c>
      <c r="H6" s="23">
        <v>0</v>
      </c>
      <c r="I6" s="23">
        <v>0</v>
      </c>
      <c r="J6" s="23">
        <v>3410.8574721794075</v>
      </c>
    </row>
    <row r="7" spans="1:10" ht="22.5" x14ac:dyDescent="0.6">
      <c r="A7" s="23">
        <v>5</v>
      </c>
      <c r="B7" s="23" t="s">
        <v>31</v>
      </c>
      <c r="C7" s="23">
        <v>1393.2377500258426</v>
      </c>
      <c r="D7" s="23">
        <v>1073.8243993032081</v>
      </c>
      <c r="E7" s="23">
        <v>1299.110612507875</v>
      </c>
      <c r="F7" s="23">
        <v>2969.7169558732116</v>
      </c>
      <c r="G7" s="23">
        <v>916.67769861490819</v>
      </c>
      <c r="H7" s="23">
        <v>941.93081097243805</v>
      </c>
      <c r="I7" s="23">
        <v>0</v>
      </c>
      <c r="J7" s="23">
        <v>8594.4982272974848</v>
      </c>
    </row>
    <row r="8" spans="1:10" ht="22.5" x14ac:dyDescent="0.6">
      <c r="A8" s="23">
        <v>6</v>
      </c>
      <c r="B8" s="23" t="s">
        <v>32</v>
      </c>
      <c r="C8" s="23">
        <v>1086.6259173503568</v>
      </c>
      <c r="D8" s="23">
        <v>237.84569851915413</v>
      </c>
      <c r="E8" s="23">
        <v>3866.6440351536326</v>
      </c>
      <c r="F8" s="23">
        <v>12219.01969094263</v>
      </c>
      <c r="G8" s="23">
        <v>2138.9146301014525</v>
      </c>
      <c r="H8" s="23">
        <v>4494.2885529351543</v>
      </c>
      <c r="I8" s="23">
        <v>1.3558842174130596</v>
      </c>
      <c r="J8" s="23">
        <v>24044.694409219795</v>
      </c>
    </row>
    <row r="9" spans="1:10" ht="22.5" x14ac:dyDescent="0.6">
      <c r="A9" s="23">
        <v>7</v>
      </c>
      <c r="B9" s="23" t="s">
        <v>33</v>
      </c>
      <c r="C9" s="23">
        <v>2260.6623211065662</v>
      </c>
      <c r="D9" s="23">
        <v>4308.6968676869146</v>
      </c>
      <c r="E9" s="23">
        <v>5003.9427633055457</v>
      </c>
      <c r="F9" s="23">
        <v>4717.5931703972919</v>
      </c>
      <c r="G9" s="23">
        <v>3055.592328716361</v>
      </c>
      <c r="H9" s="23">
        <v>578.12315535189316</v>
      </c>
      <c r="I9" s="23">
        <v>0</v>
      </c>
      <c r="J9" s="23">
        <v>19924.610606564573</v>
      </c>
    </row>
    <row r="10" spans="1:10" ht="22.5" x14ac:dyDescent="0.6">
      <c r="A10" s="23">
        <v>8</v>
      </c>
      <c r="B10" s="23" t="s">
        <v>34</v>
      </c>
      <c r="C10" s="23">
        <v>593.25837696892938</v>
      </c>
      <c r="D10" s="23">
        <v>1382.2520554195912</v>
      </c>
      <c r="E10" s="23">
        <v>1559.9312780152891</v>
      </c>
      <c r="F10" s="23">
        <v>2097.4514574288969</v>
      </c>
      <c r="G10" s="23">
        <v>12222.369314865444</v>
      </c>
      <c r="H10" s="23">
        <v>0</v>
      </c>
      <c r="I10" s="23">
        <v>0</v>
      </c>
      <c r="J10" s="23">
        <v>17855.262482698152</v>
      </c>
    </row>
    <row r="11" spans="1:10" ht="22.5" x14ac:dyDescent="0.6">
      <c r="A11" s="23">
        <v>9</v>
      </c>
      <c r="B11" s="23" t="s">
        <v>35</v>
      </c>
      <c r="C11" s="23">
        <v>509.95897218147002</v>
      </c>
      <c r="D11" s="23">
        <v>91.326775717460436</v>
      </c>
      <c r="E11" s="23">
        <v>1264.9473554788585</v>
      </c>
      <c r="F11" s="23">
        <v>4538.7912877823401</v>
      </c>
      <c r="G11" s="23">
        <v>611.11846574327217</v>
      </c>
      <c r="H11" s="23">
        <v>2407.1299096690291</v>
      </c>
      <c r="I11" s="23">
        <v>1.1876661472222698</v>
      </c>
      <c r="J11" s="23">
        <v>9424.4604327196521</v>
      </c>
    </row>
    <row r="12" spans="1:10" ht="22.5" x14ac:dyDescent="0.6">
      <c r="A12" s="23">
        <v>10</v>
      </c>
      <c r="B12" s="23" t="s">
        <v>36</v>
      </c>
      <c r="C12" s="23">
        <v>660.42668092482995</v>
      </c>
      <c r="D12" s="23">
        <v>1108.4651236444104</v>
      </c>
      <c r="E12" s="23">
        <v>2509.9006653428464</v>
      </c>
      <c r="F12" s="23">
        <v>8123.8610276970921</v>
      </c>
      <c r="G12" s="23">
        <v>13750.165479223626</v>
      </c>
      <c r="H12" s="23">
        <v>70.245826895734297</v>
      </c>
      <c r="I12" s="23">
        <v>7.1055701928408546</v>
      </c>
      <c r="J12" s="23">
        <v>26230.170373921381</v>
      </c>
    </row>
    <row r="13" spans="1:10" ht="22.5" x14ac:dyDescent="0.6">
      <c r="A13" s="23">
        <v>11</v>
      </c>
      <c r="B13" s="23" t="s">
        <v>37</v>
      </c>
      <c r="C13" s="23">
        <v>454.31047459760481</v>
      </c>
      <c r="D13" s="23">
        <v>149.27965241755965</v>
      </c>
      <c r="E13" s="23">
        <v>887.59608933302002</v>
      </c>
      <c r="F13" s="23">
        <v>2030.5471047198416</v>
      </c>
      <c r="G13" s="23">
        <v>0</v>
      </c>
      <c r="H13" s="23">
        <v>0</v>
      </c>
      <c r="I13" s="23">
        <v>0</v>
      </c>
      <c r="J13" s="23">
        <v>3521.7333210680263</v>
      </c>
    </row>
    <row r="14" spans="1:10" ht="22.5" x14ac:dyDescent="0.6">
      <c r="A14" s="23">
        <v>12</v>
      </c>
      <c r="B14" s="23" t="s">
        <v>38</v>
      </c>
      <c r="C14" s="23">
        <v>537.39642229420519</v>
      </c>
      <c r="D14" s="23">
        <v>38.806580332543078</v>
      </c>
      <c r="E14" s="23">
        <v>613.85644274980962</v>
      </c>
      <c r="F14" s="23">
        <v>3551.4060652611497</v>
      </c>
      <c r="G14" s="23">
        <v>305.55923287163608</v>
      </c>
      <c r="H14" s="23">
        <v>1756.1456723933575</v>
      </c>
      <c r="I14" s="23">
        <v>4.5245266820196655</v>
      </c>
      <c r="J14" s="23">
        <v>6807.6949425847206</v>
      </c>
    </row>
    <row r="15" spans="1:10" ht="22.5" x14ac:dyDescent="0.6">
      <c r="A15" s="23">
        <v>13</v>
      </c>
      <c r="B15" s="23" t="s">
        <v>39</v>
      </c>
      <c r="C15" s="23">
        <v>89.074536695838972</v>
      </c>
      <c r="D15" s="23">
        <v>112.03329282316776</v>
      </c>
      <c r="E15" s="23">
        <v>620.86344474805685</v>
      </c>
      <c r="F15" s="23">
        <v>4235.8275254109949</v>
      </c>
      <c r="G15" s="23">
        <v>305.55923287163608</v>
      </c>
      <c r="H15" s="23">
        <v>702.45826895734297</v>
      </c>
      <c r="I15" s="23">
        <v>0</v>
      </c>
      <c r="J15" s="23">
        <v>6065.8163015070377</v>
      </c>
    </row>
    <row r="16" spans="1:10" ht="22.5" x14ac:dyDescent="0.6">
      <c r="A16" s="23">
        <v>14</v>
      </c>
      <c r="B16" s="23" t="s">
        <v>40</v>
      </c>
      <c r="C16" s="23">
        <v>2471.2308660092144</v>
      </c>
      <c r="D16" s="23">
        <v>2086.1765633802756</v>
      </c>
      <c r="E16" s="23">
        <v>1867.9408290479491</v>
      </c>
      <c r="F16" s="23">
        <v>8643.2060656011381</v>
      </c>
      <c r="G16" s="23">
        <v>2750.0330958447253</v>
      </c>
      <c r="H16" s="23">
        <v>8679.0144616315065</v>
      </c>
      <c r="I16" s="23">
        <v>0</v>
      </c>
      <c r="J16" s="23">
        <v>26497.601881514805</v>
      </c>
    </row>
    <row r="17" spans="1:10" ht="22.5" x14ac:dyDescent="0.6">
      <c r="A17" s="23">
        <v>15</v>
      </c>
      <c r="B17" s="23" t="s">
        <v>41</v>
      </c>
      <c r="C17" s="23">
        <v>1207.0626872318428</v>
      </c>
      <c r="D17" s="23">
        <v>28.166157657126298</v>
      </c>
      <c r="E17" s="23">
        <v>2456.9245437218947</v>
      </c>
      <c r="F17" s="23">
        <v>9079.7569670277262</v>
      </c>
      <c r="G17" s="23">
        <v>611.11846574327217</v>
      </c>
      <c r="H17" s="23">
        <v>7818.7686660320469</v>
      </c>
      <c r="I17" s="23">
        <v>9.1920107217448415</v>
      </c>
      <c r="J17" s="23">
        <v>21210.989498135656</v>
      </c>
    </row>
    <row r="18" spans="1:10" ht="22.5" x14ac:dyDescent="0.6">
      <c r="A18" s="23">
        <v>16</v>
      </c>
      <c r="B18" s="23" t="s">
        <v>42</v>
      </c>
      <c r="C18" s="23">
        <v>556.56002741016596</v>
      </c>
      <c r="D18" s="23">
        <v>52.785801087072961</v>
      </c>
      <c r="E18" s="23">
        <v>478.38183911116084</v>
      </c>
      <c r="F18" s="23">
        <v>3734.0991855741731</v>
      </c>
      <c r="G18" s="23">
        <v>0</v>
      </c>
      <c r="H18" s="23">
        <v>0</v>
      </c>
      <c r="I18" s="23">
        <v>2.9180986418237591</v>
      </c>
      <c r="J18" s="23">
        <v>4824.7449518243966</v>
      </c>
    </row>
    <row r="19" spans="1:10" ht="22.5" x14ac:dyDescent="0.6">
      <c r="A19" s="23">
        <v>17</v>
      </c>
      <c r="B19" s="23" t="s">
        <v>43</v>
      </c>
      <c r="C19" s="23">
        <v>754.50731773324105</v>
      </c>
      <c r="D19" s="23">
        <v>113.26554798513223</v>
      </c>
      <c r="E19" s="23">
        <v>1539.4705981414397</v>
      </c>
      <c r="F19" s="23">
        <v>8904.1330411664549</v>
      </c>
      <c r="G19" s="23">
        <v>1222.2369314865443</v>
      </c>
      <c r="H19" s="23">
        <v>726.96136959897058</v>
      </c>
      <c r="I19" s="23">
        <v>3.1223655467514217</v>
      </c>
      <c r="J19" s="23">
        <v>13263.697171658534</v>
      </c>
    </row>
    <row r="20" spans="1:10" ht="22.5" x14ac:dyDescent="0.6">
      <c r="A20" s="23">
        <v>18</v>
      </c>
      <c r="B20" s="23" t="s">
        <v>44</v>
      </c>
      <c r="C20" s="23">
        <v>355.32236995898643</v>
      </c>
      <c r="D20" s="23">
        <v>23.208716598385159</v>
      </c>
      <c r="E20" s="23">
        <v>3314.6900615434142</v>
      </c>
      <c r="F20" s="23">
        <v>8554.557798261636</v>
      </c>
      <c r="G20" s="23">
        <v>1527.7961643581805</v>
      </c>
      <c r="H20" s="23">
        <v>7375.8118240520998</v>
      </c>
      <c r="I20" s="23">
        <v>0</v>
      </c>
      <c r="J20" s="23">
        <v>21151.386934772705</v>
      </c>
    </row>
    <row r="21" spans="1:10" ht="22.5" x14ac:dyDescent="0.6">
      <c r="A21" s="23">
        <v>19</v>
      </c>
      <c r="B21" s="23" t="s">
        <v>45</v>
      </c>
      <c r="C21" s="23">
        <v>1973.8702984989798</v>
      </c>
      <c r="D21" s="23">
        <v>254.65173985863072</v>
      </c>
      <c r="E21" s="23">
        <v>3522.6894365151343</v>
      </c>
      <c r="F21" s="23">
        <v>12134.776972604983</v>
      </c>
      <c r="G21" s="23">
        <v>1222.2369314865443</v>
      </c>
      <c r="H21" s="23">
        <v>6349.2867073288262</v>
      </c>
      <c r="I21" s="23">
        <v>33.558134380973222</v>
      </c>
      <c r="J21" s="23">
        <v>25491.070220674072</v>
      </c>
    </row>
    <row r="22" spans="1:10" ht="22.5" x14ac:dyDescent="0.6">
      <c r="A22" s="23">
        <v>20</v>
      </c>
      <c r="B22" s="23" t="s">
        <v>46</v>
      </c>
      <c r="C22" s="23">
        <v>887.06373777967428</v>
      </c>
      <c r="D22" s="23">
        <v>265.99399139825073</v>
      </c>
      <c r="E22" s="23">
        <v>2336.5452026191178</v>
      </c>
      <c r="F22" s="23">
        <v>7394.6035831683839</v>
      </c>
      <c r="G22" s="23">
        <v>611.11846574327217</v>
      </c>
      <c r="H22" s="23">
        <v>6455.962662687698</v>
      </c>
      <c r="I22" s="23">
        <v>0</v>
      </c>
      <c r="J22" s="23">
        <v>17951.287643396397</v>
      </c>
    </row>
    <row r="23" spans="1:10" ht="22.5" x14ac:dyDescent="0.6">
      <c r="A23" s="23">
        <v>21</v>
      </c>
      <c r="B23" s="23" t="s">
        <v>47</v>
      </c>
      <c r="C23" s="23">
        <v>415.81354908131868</v>
      </c>
      <c r="D23" s="23">
        <v>88.654824018144424</v>
      </c>
      <c r="E23" s="23">
        <v>579.28894401199432</v>
      </c>
      <c r="F23" s="23">
        <v>2384.7393949255811</v>
      </c>
      <c r="G23" s="23">
        <v>305.55923287163608</v>
      </c>
      <c r="H23" s="23">
        <v>4425.4870944312606</v>
      </c>
      <c r="I23" s="23">
        <v>0.19159233506923667</v>
      </c>
      <c r="J23" s="23">
        <v>8199.7346316750045</v>
      </c>
    </row>
    <row r="24" spans="1:10" ht="22.5" x14ac:dyDescent="0.6">
      <c r="A24" s="23">
        <v>22</v>
      </c>
      <c r="B24" s="23" t="s">
        <v>48</v>
      </c>
      <c r="C24" s="23">
        <v>529.5709708017157</v>
      </c>
      <c r="D24" s="23">
        <v>191.84172190230566</v>
      </c>
      <c r="E24" s="23">
        <v>300.99894048505189</v>
      </c>
      <c r="F24" s="23">
        <v>5871.6932546285034</v>
      </c>
      <c r="G24" s="23">
        <v>458.3388493074541</v>
      </c>
      <c r="H24" s="23">
        <v>1064.870315258644</v>
      </c>
      <c r="I24" s="23">
        <v>0</v>
      </c>
      <c r="J24" s="23">
        <v>8417.3140523836737</v>
      </c>
    </row>
    <row r="25" spans="1:10" ht="22.5" x14ac:dyDescent="0.6">
      <c r="A25" s="23">
        <v>23</v>
      </c>
      <c r="B25" s="23" t="s">
        <v>49</v>
      </c>
      <c r="C25" s="23">
        <v>500.38358185802883</v>
      </c>
      <c r="D25" s="23">
        <v>820.10547981510456</v>
      </c>
      <c r="E25" s="23">
        <v>563.27170224991073</v>
      </c>
      <c r="F25" s="23">
        <v>450.76807637726279</v>
      </c>
      <c r="G25" s="23">
        <v>0</v>
      </c>
      <c r="H25" s="23">
        <v>0</v>
      </c>
      <c r="I25" s="23">
        <v>0</v>
      </c>
      <c r="J25" s="23">
        <v>2334.5288403003069</v>
      </c>
    </row>
    <row r="26" spans="1:10" ht="22.5" x14ac:dyDescent="0.6">
      <c r="A26" s="23">
        <v>24</v>
      </c>
      <c r="B26" s="23" t="s">
        <v>50</v>
      </c>
      <c r="C26" s="23">
        <v>1548.6926701236919</v>
      </c>
      <c r="D26" s="23">
        <v>1972.5986061741935</v>
      </c>
      <c r="E26" s="23">
        <v>1894.4360047776038</v>
      </c>
      <c r="F26" s="23">
        <v>5047.9334118982542</v>
      </c>
      <c r="G26" s="23">
        <v>1222.2369314865443</v>
      </c>
      <c r="H26" s="23">
        <v>418.84784022688859</v>
      </c>
      <c r="I26" s="23">
        <v>0</v>
      </c>
      <c r="J26" s="23">
        <v>12104.745464687176</v>
      </c>
    </row>
    <row r="27" spans="1:10" ht="22.5" x14ac:dyDescent="0.6">
      <c r="A27" s="23">
        <v>25</v>
      </c>
      <c r="B27" s="23" t="s">
        <v>51</v>
      </c>
      <c r="C27" s="23">
        <v>486.83357637643206</v>
      </c>
      <c r="D27" s="23">
        <v>218.10757376917292</v>
      </c>
      <c r="E27" s="23">
        <v>213.68230243578873</v>
      </c>
      <c r="F27" s="23">
        <v>3683.9209210423801</v>
      </c>
      <c r="G27" s="23">
        <v>152.77961643581804</v>
      </c>
      <c r="H27" s="23">
        <v>0</v>
      </c>
      <c r="I27" s="23">
        <v>0</v>
      </c>
      <c r="J27" s="23">
        <v>4755.3239900595909</v>
      </c>
    </row>
    <row r="28" spans="1:10" ht="22.5" x14ac:dyDescent="0.6">
      <c r="A28" s="23">
        <v>26</v>
      </c>
      <c r="B28" s="23" t="s">
        <v>52</v>
      </c>
      <c r="C28" s="23">
        <v>338.44619292984726</v>
      </c>
      <c r="D28" s="23">
        <v>183.33912270632922</v>
      </c>
      <c r="E28" s="23">
        <v>534.65562785996121</v>
      </c>
      <c r="F28" s="23">
        <v>1046.2168154878586</v>
      </c>
      <c r="G28" s="23">
        <v>0</v>
      </c>
      <c r="H28" s="23">
        <v>0</v>
      </c>
      <c r="I28" s="23">
        <v>12.533233666633045</v>
      </c>
      <c r="J28" s="23">
        <v>2115.1909926506296</v>
      </c>
    </row>
    <row r="29" spans="1:10" ht="22.5" x14ac:dyDescent="0.6">
      <c r="A29" s="23">
        <v>27</v>
      </c>
      <c r="B29" s="23" t="s">
        <v>53</v>
      </c>
      <c r="C29" s="23">
        <v>470.75237549537036</v>
      </c>
      <c r="D29" s="23">
        <v>11.263174544735266</v>
      </c>
      <c r="E29" s="23">
        <v>1031.9410892110106</v>
      </c>
      <c r="F29" s="23">
        <v>3359.4348104034607</v>
      </c>
      <c r="G29" s="23">
        <v>0</v>
      </c>
      <c r="H29" s="23">
        <v>2111.1915816372093</v>
      </c>
      <c r="I29" s="23">
        <v>33.995849177246782</v>
      </c>
      <c r="J29" s="23">
        <v>7018.5788804690328</v>
      </c>
    </row>
    <row r="30" spans="1:10" ht="22.5" x14ac:dyDescent="0.6">
      <c r="A30" s="23" t="s">
        <v>5</v>
      </c>
      <c r="B30" s="23"/>
      <c r="C30" s="23">
        <v>21368.519179403273</v>
      </c>
      <c r="D30" s="23">
        <v>16456.976989559942</v>
      </c>
      <c r="E30" s="23">
        <v>40362.869274228498</v>
      </c>
      <c r="F30" s="23">
        <v>131832.96557713198</v>
      </c>
      <c r="G30" s="23">
        <v>44917.207232130502</v>
      </c>
      <c r="H30" s="23">
        <v>56964.896365314664</v>
      </c>
      <c r="I30" s="23">
        <v>116.6000959662</v>
      </c>
      <c r="J30" s="23">
        <v>312020.03471373499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rightToLeft="1" workbookViewId="0">
      <selection activeCell="B1" sqref="B1:R30"/>
    </sheetView>
  </sheetViews>
  <sheetFormatPr defaultRowHeight="14.25" x14ac:dyDescent="0.2"/>
  <sheetData>
    <row r="1" spans="1:18" ht="22.5" x14ac:dyDescent="0.6">
      <c r="A1" s="23" t="s">
        <v>15</v>
      </c>
      <c r="B1" s="23" t="s">
        <v>94</v>
      </c>
      <c r="C1" s="23" t="s">
        <v>95</v>
      </c>
      <c r="D1" s="23" t="s">
        <v>96</v>
      </c>
      <c r="E1" s="23"/>
      <c r="F1" s="23"/>
      <c r="G1" s="23" t="s">
        <v>97</v>
      </c>
      <c r="H1" s="23"/>
      <c r="I1" s="23"/>
      <c r="J1" s="23" t="s">
        <v>98</v>
      </c>
      <c r="K1" s="23"/>
      <c r="L1" s="23"/>
      <c r="M1" s="23" t="s">
        <v>99</v>
      </c>
      <c r="N1" s="23"/>
      <c r="O1" s="23"/>
      <c r="P1" s="23" t="s">
        <v>100</v>
      </c>
      <c r="Q1" s="23"/>
      <c r="R1" s="23"/>
    </row>
    <row r="2" spans="1:18" ht="22.5" x14ac:dyDescent="0.6">
      <c r="A2" s="23"/>
      <c r="B2" s="23"/>
      <c r="C2" s="23"/>
      <c r="D2" s="23" t="s">
        <v>101</v>
      </c>
      <c r="E2" s="23" t="s">
        <v>102</v>
      </c>
      <c r="F2" s="23" t="s">
        <v>103</v>
      </c>
      <c r="G2" s="23" t="s">
        <v>101</v>
      </c>
      <c r="H2" s="23" t="s">
        <v>102</v>
      </c>
      <c r="I2" s="23" t="s">
        <v>103</v>
      </c>
      <c r="J2" s="23" t="s">
        <v>101</v>
      </c>
      <c r="K2" s="23" t="s">
        <v>102</v>
      </c>
      <c r="L2" s="23" t="s">
        <v>103</v>
      </c>
      <c r="M2" s="23" t="s">
        <v>101</v>
      </c>
      <c r="N2" s="23" t="s">
        <v>102</v>
      </c>
      <c r="O2" s="23" t="s">
        <v>103</v>
      </c>
      <c r="P2" s="23" t="s">
        <v>101</v>
      </c>
      <c r="Q2" s="23" t="s">
        <v>102</v>
      </c>
      <c r="R2" s="23" t="s">
        <v>103</v>
      </c>
    </row>
    <row r="3" spans="1:18" ht="22.5" x14ac:dyDescent="0.6">
      <c r="A3" s="23">
        <v>1</v>
      </c>
      <c r="B3" s="23" t="s">
        <v>27</v>
      </c>
      <c r="C3" s="23">
        <v>267195.77190592355</v>
      </c>
      <c r="D3" s="23">
        <v>4470.2482529505487</v>
      </c>
      <c r="E3" s="23">
        <v>43552.910820665536</v>
      </c>
      <c r="F3" s="23">
        <v>-39082.662567714986</v>
      </c>
      <c r="G3" s="23">
        <v>377.17584378328303</v>
      </c>
      <c r="H3" s="23">
        <v>3633.8624979205601</v>
      </c>
      <c r="I3" s="23">
        <v>-3256.6866541372769</v>
      </c>
      <c r="J3" s="23">
        <v>1236.7701749999999</v>
      </c>
      <c r="K3" s="23">
        <v>7347.8837274128982</v>
      </c>
      <c r="L3" s="23">
        <v>-6111.1135524128986</v>
      </c>
      <c r="M3" s="23">
        <v>296.46376649999996</v>
      </c>
      <c r="N3" s="23">
        <v>2992.5926453463435</v>
      </c>
      <c r="O3" s="23">
        <v>-2696.1288788463435</v>
      </c>
      <c r="P3" s="23">
        <v>0</v>
      </c>
      <c r="Q3" s="23">
        <v>187.03704033414647</v>
      </c>
      <c r="R3" s="23">
        <v>-187.03704033414647</v>
      </c>
    </row>
    <row r="4" spans="1:18" ht="22.5" x14ac:dyDescent="0.6">
      <c r="A4" s="23">
        <v>2</v>
      </c>
      <c r="B4" s="23" t="s">
        <v>66</v>
      </c>
      <c r="C4" s="23">
        <v>88108.813840142902</v>
      </c>
      <c r="D4" s="23">
        <v>4500.1398924510086</v>
      </c>
      <c r="E4" s="23">
        <v>2921.7556157272197</v>
      </c>
      <c r="F4" s="23">
        <v>1578.3842767237888</v>
      </c>
      <c r="G4" s="23">
        <v>209.05931831942567</v>
      </c>
      <c r="H4" s="23">
        <v>1198.2798682259436</v>
      </c>
      <c r="I4" s="23">
        <v>-989.22054990651793</v>
      </c>
      <c r="J4" s="23">
        <v>679.12953500000003</v>
      </c>
      <c r="K4" s="23">
        <v>2422.9923806039301</v>
      </c>
      <c r="L4" s="23">
        <v>-1743.8628456039301</v>
      </c>
      <c r="M4" s="23">
        <v>108.03916650000001</v>
      </c>
      <c r="N4" s="23">
        <v>986.8187150096004</v>
      </c>
      <c r="O4" s="23">
        <v>-878.77954850960043</v>
      </c>
      <c r="P4" s="23">
        <v>5.74</v>
      </c>
      <c r="Q4" s="23">
        <v>61.676169688100025</v>
      </c>
      <c r="R4" s="23">
        <v>-55.936169688100023</v>
      </c>
    </row>
    <row r="5" spans="1:18" ht="22.5" x14ac:dyDescent="0.6">
      <c r="A5" s="23">
        <v>3</v>
      </c>
      <c r="B5" s="23" t="s">
        <v>65</v>
      </c>
      <c r="C5" s="23">
        <v>17924.881078081104</v>
      </c>
      <c r="D5" s="23">
        <v>1833.6528443712427</v>
      </c>
      <c r="E5" s="23">
        <v>8413.1865692328738</v>
      </c>
      <c r="F5" s="23">
        <v>-6579.5337248616306</v>
      </c>
      <c r="G5" s="23">
        <v>673.97250314193138</v>
      </c>
      <c r="H5" s="23">
        <v>243.77838266190301</v>
      </c>
      <c r="I5" s="23">
        <v>430.19412048002835</v>
      </c>
      <c r="J5" s="23">
        <v>6.9147499999999997</v>
      </c>
      <c r="K5" s="23">
        <v>492.93422964723038</v>
      </c>
      <c r="L5" s="23">
        <v>-486.01947964723036</v>
      </c>
      <c r="M5" s="23">
        <v>24.481505000000002</v>
      </c>
      <c r="N5" s="23">
        <v>200.75866807450834</v>
      </c>
      <c r="O5" s="23">
        <v>-176.27716307450834</v>
      </c>
      <c r="P5" s="23">
        <v>0.8</v>
      </c>
      <c r="Q5" s="23">
        <v>12.547416754656771</v>
      </c>
      <c r="R5" s="23">
        <v>-11.74741675465677</v>
      </c>
    </row>
    <row r="6" spans="1:18" ht="22.5" x14ac:dyDescent="0.6">
      <c r="A6" s="23">
        <v>4</v>
      </c>
      <c r="B6" s="23" t="s">
        <v>30</v>
      </c>
      <c r="C6" s="23">
        <v>51614.641529036038</v>
      </c>
      <c r="D6" s="23">
        <v>3410.8574721794075</v>
      </c>
      <c r="E6" s="23">
        <v>8413.1865692328738</v>
      </c>
      <c r="F6" s="23">
        <v>-5002.3290970534663</v>
      </c>
      <c r="G6" s="23">
        <v>1082.7019958018607</v>
      </c>
      <c r="H6" s="23">
        <v>701.95912479489004</v>
      </c>
      <c r="I6" s="23">
        <v>380.74287100697063</v>
      </c>
      <c r="J6" s="23">
        <v>1448.3097049999997</v>
      </c>
      <c r="K6" s="23">
        <v>1419.4026420484911</v>
      </c>
      <c r="L6" s="23">
        <v>28.907062951508578</v>
      </c>
      <c r="M6" s="23">
        <v>67.401067499999996</v>
      </c>
      <c r="N6" s="23">
        <v>578.08398512520364</v>
      </c>
      <c r="O6" s="23">
        <v>-510.68291762520363</v>
      </c>
      <c r="P6" s="23">
        <v>46.79</v>
      </c>
      <c r="Q6" s="23">
        <v>36.130249070325227</v>
      </c>
      <c r="R6" s="23">
        <v>10.659750929674772</v>
      </c>
    </row>
    <row r="7" spans="1:18" ht="22.5" x14ac:dyDescent="0.6">
      <c r="A7" s="23">
        <v>5</v>
      </c>
      <c r="B7" s="23" t="s">
        <v>67</v>
      </c>
      <c r="C7" s="23">
        <v>173129.92717997657</v>
      </c>
      <c r="D7" s="23">
        <v>8594.4982272974848</v>
      </c>
      <c r="E7" s="23">
        <v>28220.178130336179</v>
      </c>
      <c r="F7" s="23">
        <v>-19625.679903038694</v>
      </c>
      <c r="G7" s="23">
        <v>1787.536551904084</v>
      </c>
      <c r="H7" s="23">
        <v>2354.5670096476815</v>
      </c>
      <c r="I7" s="23">
        <v>-567.03045774359748</v>
      </c>
      <c r="J7" s="23">
        <v>3533.1972799999999</v>
      </c>
      <c r="K7" s="23">
        <v>4761.0729974493561</v>
      </c>
      <c r="L7" s="23">
        <v>-1227.8757174493562</v>
      </c>
      <c r="M7" s="23">
        <v>553.07875200000001</v>
      </c>
      <c r="N7" s="23">
        <v>1939.0551844157374</v>
      </c>
      <c r="O7" s="23">
        <v>-1385.9764324157372</v>
      </c>
      <c r="P7" s="23">
        <v>91.850999999999999</v>
      </c>
      <c r="Q7" s="23">
        <v>121.19094902598358</v>
      </c>
      <c r="R7" s="23">
        <v>-29.339949025983586</v>
      </c>
    </row>
    <row r="8" spans="1:18" ht="22.5" x14ac:dyDescent="0.6">
      <c r="A8" s="23">
        <v>6</v>
      </c>
      <c r="B8" s="23" t="s">
        <v>32</v>
      </c>
      <c r="C8" s="23">
        <v>1366411.0811175779</v>
      </c>
      <c r="D8" s="23">
        <v>24044.694409219795</v>
      </c>
      <c r="E8" s="23">
        <v>222725.00622216519</v>
      </c>
      <c r="F8" s="23">
        <v>-198680.31181294541</v>
      </c>
      <c r="G8" s="23">
        <v>2782.1221278261164</v>
      </c>
      <c r="H8" s="23">
        <v>18583.190703199059</v>
      </c>
      <c r="I8" s="23">
        <v>-15801.068575372943</v>
      </c>
      <c r="J8" s="23">
        <v>1375.3411741493501</v>
      </c>
      <c r="K8" s="23">
        <v>37576.304730733398</v>
      </c>
      <c r="L8" s="23">
        <v>-36200.963556584051</v>
      </c>
      <c r="M8" s="23">
        <v>234.286384</v>
      </c>
      <c r="N8" s="23">
        <v>15303.80410851687</v>
      </c>
      <c r="O8" s="23">
        <v>-15069.517724516871</v>
      </c>
      <c r="P8" s="23">
        <v>33.132000000000005</v>
      </c>
      <c r="Q8" s="23">
        <v>956.48775678230436</v>
      </c>
      <c r="R8" s="23">
        <v>-923.3557567823043</v>
      </c>
    </row>
    <row r="9" spans="1:18" ht="22.5" x14ac:dyDescent="0.6">
      <c r="A9" s="23">
        <v>7</v>
      </c>
      <c r="B9" s="23" t="s">
        <v>33</v>
      </c>
      <c r="C9" s="23">
        <v>211050.9109007933</v>
      </c>
      <c r="D9" s="23">
        <v>19924.610606564573</v>
      </c>
      <c r="E9" s="23">
        <v>34401.298476829303</v>
      </c>
      <c r="F9" s="23">
        <v>-14476.68787026473</v>
      </c>
      <c r="G9" s="23">
        <v>4213.8159975091385</v>
      </c>
      <c r="H9" s="23">
        <v>2870.2923882507885</v>
      </c>
      <c r="I9" s="23">
        <v>1343.52360925835</v>
      </c>
      <c r="J9" s="23">
        <v>2994.057695</v>
      </c>
      <c r="K9" s="23">
        <v>5803.9000497718152</v>
      </c>
      <c r="L9" s="23">
        <v>-2809.8423547718153</v>
      </c>
      <c r="M9" s="23">
        <v>615.84126849999996</v>
      </c>
      <c r="N9" s="23">
        <v>2363.7702020888851</v>
      </c>
      <c r="O9" s="23">
        <v>-1747.9289335888852</v>
      </c>
      <c r="P9" s="23">
        <v>791.32400000000007</v>
      </c>
      <c r="Q9" s="23">
        <v>147.73563763055532</v>
      </c>
      <c r="R9" s="23">
        <v>643.58836236944478</v>
      </c>
    </row>
    <row r="10" spans="1:18" ht="22.5" x14ac:dyDescent="0.6">
      <c r="A10" s="23">
        <v>8</v>
      </c>
      <c r="B10" s="23" t="s">
        <v>68</v>
      </c>
      <c r="C10" s="23">
        <v>110052.1021760552</v>
      </c>
      <c r="D10" s="23">
        <v>17855.262482698152</v>
      </c>
      <c r="E10" s="23">
        <v>17938.492654696998</v>
      </c>
      <c r="F10" s="23">
        <v>-83.230171998846345</v>
      </c>
      <c r="G10" s="23">
        <v>1507.7923905889156</v>
      </c>
      <c r="H10" s="23">
        <v>1496.7085895943508</v>
      </c>
      <c r="I10" s="23">
        <v>11.083800994564854</v>
      </c>
      <c r="J10" s="23">
        <v>5486.5920149999993</v>
      </c>
      <c r="K10" s="23">
        <v>3026.4328098415176</v>
      </c>
      <c r="L10" s="23">
        <v>2460.1592051584817</v>
      </c>
      <c r="M10" s="23">
        <v>601.32444250000003</v>
      </c>
      <c r="N10" s="23">
        <v>1232.5835443718181</v>
      </c>
      <c r="O10" s="23">
        <v>-631.25910187181807</v>
      </c>
      <c r="P10" s="23">
        <v>29.638000000000002</v>
      </c>
      <c r="Q10" s="23">
        <v>77.036471523238632</v>
      </c>
      <c r="R10" s="23">
        <v>-47.398471523238626</v>
      </c>
    </row>
    <row r="11" spans="1:18" ht="22.5" x14ac:dyDescent="0.6">
      <c r="A11" s="23">
        <v>9</v>
      </c>
      <c r="B11" s="23" t="s">
        <v>69</v>
      </c>
      <c r="C11" s="23">
        <v>95623.912297317089</v>
      </c>
      <c r="D11" s="23">
        <v>9424.4604327196521</v>
      </c>
      <c r="E11" s="23">
        <v>15586.697704462686</v>
      </c>
      <c r="F11" s="23">
        <v>-6162.2372717430335</v>
      </c>
      <c r="G11" s="23">
        <v>1122.9652905513979</v>
      </c>
      <c r="H11" s="23">
        <v>1300.4852072435124</v>
      </c>
      <c r="I11" s="23">
        <v>-177.51991669211452</v>
      </c>
      <c r="J11" s="23">
        <v>1238.52198</v>
      </c>
      <c r="K11" s="23">
        <v>2629.6575881762196</v>
      </c>
      <c r="L11" s="23">
        <v>-1391.1356081762196</v>
      </c>
      <c r="M11" s="23">
        <v>114.05755400000001</v>
      </c>
      <c r="N11" s="23">
        <v>1070.9878177299513</v>
      </c>
      <c r="O11" s="23">
        <v>-956.93026372995132</v>
      </c>
      <c r="P11" s="23">
        <v>9.83</v>
      </c>
      <c r="Q11" s="23">
        <v>66.936738608121956</v>
      </c>
      <c r="R11" s="23">
        <v>-57.106738608121958</v>
      </c>
    </row>
    <row r="12" spans="1:18" ht="22.5" x14ac:dyDescent="0.6">
      <c r="A12" s="23">
        <v>10</v>
      </c>
      <c r="B12" s="23" t="s">
        <v>36</v>
      </c>
      <c r="C12" s="23">
        <v>299779.86098632403</v>
      </c>
      <c r="D12" s="23">
        <v>26230.170373921381</v>
      </c>
      <c r="E12" s="23">
        <v>48864.117340770819</v>
      </c>
      <c r="F12" s="23">
        <v>-22633.946966849438</v>
      </c>
      <c r="G12" s="23">
        <v>2127.8587266996819</v>
      </c>
      <c r="H12" s="23">
        <v>4077.0061094140065</v>
      </c>
      <c r="I12" s="23">
        <v>-1949.1473827143245</v>
      </c>
      <c r="J12" s="23">
        <v>5266.2303549999997</v>
      </c>
      <c r="K12" s="23">
        <v>8243.9461771239112</v>
      </c>
      <c r="L12" s="23">
        <v>-2977.7158221239115</v>
      </c>
      <c r="M12" s="23">
        <v>1934.8932705000002</v>
      </c>
      <c r="N12" s="23">
        <v>3357.5344430468285</v>
      </c>
      <c r="O12" s="23">
        <v>-1422.6411725468283</v>
      </c>
      <c r="P12" s="23">
        <v>30.38</v>
      </c>
      <c r="Q12" s="23">
        <v>209.84590269042678</v>
      </c>
      <c r="R12" s="23">
        <v>-179.46590269042679</v>
      </c>
    </row>
    <row r="13" spans="1:18" ht="22.5" x14ac:dyDescent="0.6">
      <c r="A13" s="23">
        <v>11</v>
      </c>
      <c r="B13" s="23" t="s">
        <v>104</v>
      </c>
      <c r="C13" s="23">
        <v>171092.35469710091</v>
      </c>
      <c r="D13" s="23">
        <v>3521.7333210680263</v>
      </c>
      <c r="E13" s="23">
        <v>27888.053815627449</v>
      </c>
      <c r="F13" s="23">
        <v>-24366.320494559423</v>
      </c>
      <c r="G13" s="23">
        <v>656.38526546410117</v>
      </c>
      <c r="H13" s="23">
        <v>2326.8560238805721</v>
      </c>
      <c r="I13" s="23">
        <v>-1670.470758416471</v>
      </c>
      <c r="J13" s="23">
        <v>2564.4966800000002</v>
      </c>
      <c r="K13" s="23">
        <v>4705.039754170275</v>
      </c>
      <c r="L13" s="23">
        <v>-2140.5430741702748</v>
      </c>
      <c r="M13" s="23">
        <v>176.06062999999997</v>
      </c>
      <c r="N13" s="23">
        <v>1916.2343726075301</v>
      </c>
      <c r="O13" s="23">
        <v>-1740.1737426075301</v>
      </c>
      <c r="P13" s="23">
        <v>0</v>
      </c>
      <c r="Q13" s="23">
        <v>119.76464828797063</v>
      </c>
      <c r="R13" s="23">
        <v>-119.76464828797063</v>
      </c>
    </row>
    <row r="14" spans="1:18" ht="22.5" x14ac:dyDescent="0.6">
      <c r="A14" s="23">
        <v>12</v>
      </c>
      <c r="B14" s="23" t="s">
        <v>38</v>
      </c>
      <c r="C14" s="23">
        <v>45419.050504814586</v>
      </c>
      <c r="D14" s="23">
        <v>6807.6949425847206</v>
      </c>
      <c r="E14" s="23">
        <v>7403.305232284778</v>
      </c>
      <c r="F14" s="23">
        <v>-595.61028970005736</v>
      </c>
      <c r="G14" s="23">
        <v>877.30462130830426</v>
      </c>
      <c r="H14" s="23">
        <v>617.69908686547831</v>
      </c>
      <c r="I14" s="23">
        <v>259.60553444282596</v>
      </c>
      <c r="J14" s="23">
        <v>641.15741585064984</v>
      </c>
      <c r="K14" s="23">
        <v>1249.0238888824013</v>
      </c>
      <c r="L14" s="23">
        <v>-607.86647303175141</v>
      </c>
      <c r="M14" s="23">
        <v>114.235567</v>
      </c>
      <c r="N14" s="23">
        <v>508.69336565392331</v>
      </c>
      <c r="O14" s="23">
        <v>-394.45779865392331</v>
      </c>
      <c r="P14" s="23">
        <v>1.8699999999999999</v>
      </c>
      <c r="Q14" s="23">
        <v>31.793335353370207</v>
      </c>
      <c r="R14" s="23">
        <v>-29.923335353370206</v>
      </c>
    </row>
    <row r="15" spans="1:18" ht="22.5" x14ac:dyDescent="0.6">
      <c r="A15" s="23">
        <v>13</v>
      </c>
      <c r="B15" s="23" t="s">
        <v>39</v>
      </c>
      <c r="C15" s="23">
        <v>168971.65753260444</v>
      </c>
      <c r="D15" s="23">
        <v>6065.8163015070377</v>
      </c>
      <c r="E15" s="23">
        <v>27542.380177814524</v>
      </c>
      <c r="F15" s="23">
        <v>-21476.563876307486</v>
      </c>
      <c r="G15" s="23">
        <v>577.04596030574555</v>
      </c>
      <c r="H15" s="23">
        <v>2298.0145424434204</v>
      </c>
      <c r="I15" s="23">
        <v>-1720.9685821376747</v>
      </c>
      <c r="J15" s="23">
        <v>915.48313499999995</v>
      </c>
      <c r="K15" s="23">
        <v>4646.7205821466223</v>
      </c>
      <c r="L15" s="23">
        <v>-3731.2374471466223</v>
      </c>
      <c r="M15" s="23">
        <v>49.736318499999996</v>
      </c>
      <c r="N15" s="23">
        <v>1892.4825643651695</v>
      </c>
      <c r="O15" s="23">
        <v>-1842.7462458651696</v>
      </c>
      <c r="P15" s="23">
        <v>1.89</v>
      </c>
      <c r="Q15" s="23">
        <v>118.2801602728231</v>
      </c>
      <c r="R15" s="23">
        <v>-116.3901602728231</v>
      </c>
    </row>
    <row r="16" spans="1:18" ht="22.5" x14ac:dyDescent="0.6">
      <c r="A16" s="23">
        <v>14</v>
      </c>
      <c r="B16" s="23" t="s">
        <v>40</v>
      </c>
      <c r="C16" s="23">
        <v>442498.04794407275</v>
      </c>
      <c r="D16" s="23">
        <v>26497.601881514805</v>
      </c>
      <c r="E16" s="23">
        <v>72127.181814883865</v>
      </c>
      <c r="F16" s="23">
        <v>-45629.579933369059</v>
      </c>
      <c r="G16" s="23">
        <v>3939.2155854668217</v>
      </c>
      <c r="H16" s="23">
        <v>6017.9734520393886</v>
      </c>
      <c r="I16" s="23">
        <v>-2078.7578665725669</v>
      </c>
      <c r="J16" s="23">
        <v>19412.074899999996</v>
      </c>
      <c r="K16" s="23">
        <v>12168.696318462002</v>
      </c>
      <c r="L16" s="23">
        <v>7243.3785815379943</v>
      </c>
      <c r="M16" s="23">
        <v>684.58466599999997</v>
      </c>
      <c r="N16" s="23">
        <v>4955.9781369736147</v>
      </c>
      <c r="O16" s="23">
        <v>-4271.393470973615</v>
      </c>
      <c r="P16" s="23">
        <v>393.286</v>
      </c>
      <c r="Q16" s="23">
        <v>309.74863356085092</v>
      </c>
      <c r="R16" s="23">
        <v>83.537366439149082</v>
      </c>
    </row>
    <row r="17" spans="1:18" ht="22.5" x14ac:dyDescent="0.6">
      <c r="A17" s="23">
        <v>15</v>
      </c>
      <c r="B17" s="23" t="s">
        <v>41</v>
      </c>
      <c r="C17" s="23">
        <v>103473.72562818715</v>
      </c>
      <c r="D17" s="23">
        <v>21210.989498135656</v>
      </c>
      <c r="E17" s="23">
        <v>16866.217277394506</v>
      </c>
      <c r="F17" s="23">
        <v>4344.7722207411498</v>
      </c>
      <c r="G17" s="23">
        <v>2527.6932468413161</v>
      </c>
      <c r="H17" s="23">
        <v>1407.2426685433452</v>
      </c>
      <c r="I17" s="23">
        <v>1120.4505782979709</v>
      </c>
      <c r="J17" s="23">
        <v>3259.9693600000001</v>
      </c>
      <c r="K17" s="23">
        <v>2845.5274547751465</v>
      </c>
      <c r="L17" s="23">
        <v>414.4419052248536</v>
      </c>
      <c r="M17" s="23">
        <v>84.697502000000014</v>
      </c>
      <c r="N17" s="23">
        <v>1158.9057270356959</v>
      </c>
      <c r="O17" s="23">
        <v>-1074.2082250356959</v>
      </c>
      <c r="P17" s="23">
        <v>0.3</v>
      </c>
      <c r="Q17" s="23">
        <v>72.431607939730995</v>
      </c>
      <c r="R17" s="23">
        <v>-72.131607939730998</v>
      </c>
    </row>
    <row r="18" spans="1:18" ht="22.5" x14ac:dyDescent="0.6">
      <c r="A18" s="23">
        <v>16</v>
      </c>
      <c r="B18" s="23" t="s">
        <v>71</v>
      </c>
      <c r="C18" s="23">
        <v>47204.695901327024</v>
      </c>
      <c r="D18" s="23">
        <v>4824.7449518243966</v>
      </c>
      <c r="E18" s="23">
        <v>7694.3654319163052</v>
      </c>
      <c r="F18" s="23">
        <v>-2869.6204800919086</v>
      </c>
      <c r="G18" s="23">
        <v>740.70879636605605</v>
      </c>
      <c r="H18" s="23">
        <v>641.98386425804756</v>
      </c>
      <c r="I18" s="23">
        <v>98.724932108008488</v>
      </c>
      <c r="J18" s="23">
        <v>872.38076999999998</v>
      </c>
      <c r="K18" s="23">
        <v>1298.129137286493</v>
      </c>
      <c r="L18" s="23">
        <v>-425.74836728649302</v>
      </c>
      <c r="M18" s="23">
        <v>124.40320699999998</v>
      </c>
      <c r="N18" s="23">
        <v>528.69259409486267</v>
      </c>
      <c r="O18" s="23">
        <v>-404.28938709486272</v>
      </c>
      <c r="P18" s="23">
        <v>0</v>
      </c>
      <c r="Q18" s="23">
        <v>33.043287130928917</v>
      </c>
      <c r="R18" s="23">
        <v>-33.043287130928917</v>
      </c>
    </row>
    <row r="19" spans="1:18" ht="22.5" x14ac:dyDescent="0.6">
      <c r="A19" s="23">
        <v>17</v>
      </c>
      <c r="B19" s="23" t="s">
        <v>43</v>
      </c>
      <c r="C19" s="23">
        <v>110592.12531452031</v>
      </c>
      <c r="D19" s="23">
        <v>13263.697171658534</v>
      </c>
      <c r="E19" s="23">
        <v>18026.516426266811</v>
      </c>
      <c r="F19" s="23">
        <v>-4762.8192546082773</v>
      </c>
      <c r="G19" s="23">
        <v>1543.723259987848</v>
      </c>
      <c r="H19" s="23">
        <v>1504.0529042774763</v>
      </c>
      <c r="I19" s="23">
        <v>39.670355710371723</v>
      </c>
      <c r="J19" s="23">
        <v>3674.8741600000003</v>
      </c>
      <c r="K19" s="23">
        <v>3041.2834461493085</v>
      </c>
      <c r="L19" s="23">
        <v>633.59071385069183</v>
      </c>
      <c r="M19" s="23">
        <v>1091.9320600000001</v>
      </c>
      <c r="N19" s="23">
        <v>1238.6318035226273</v>
      </c>
      <c r="O19" s="23">
        <v>-146.69974352262716</v>
      </c>
      <c r="P19" s="23">
        <v>7.0970000000000004</v>
      </c>
      <c r="Q19" s="23">
        <v>77.414487720164203</v>
      </c>
      <c r="R19" s="23">
        <v>-70.317487720164209</v>
      </c>
    </row>
    <row r="20" spans="1:18" ht="22.5" x14ac:dyDescent="0.6">
      <c r="A20" s="23">
        <v>18</v>
      </c>
      <c r="B20" s="23" t="s">
        <v>44</v>
      </c>
      <c r="C20" s="23">
        <v>165996.38389679999</v>
      </c>
      <c r="D20" s="23">
        <v>21151.386934772705</v>
      </c>
      <c r="E20" s="23">
        <v>27057.410575178401</v>
      </c>
      <c r="F20" s="23">
        <v>-5906.0236404056959</v>
      </c>
      <c r="G20" s="23">
        <v>2076.3473767064993</v>
      </c>
      <c r="H20" s="23">
        <v>2257.5508209964796</v>
      </c>
      <c r="I20" s="23">
        <v>-181.20344428998033</v>
      </c>
      <c r="J20" s="23">
        <v>5866.2441599999993</v>
      </c>
      <c r="K20" s="23">
        <v>4564.900557162</v>
      </c>
      <c r="L20" s="23">
        <v>1301.3436028379992</v>
      </c>
      <c r="M20" s="23">
        <v>57.912303999999999</v>
      </c>
      <c r="N20" s="23">
        <v>1859.1594996441597</v>
      </c>
      <c r="O20" s="23">
        <v>-1801.2471956441598</v>
      </c>
      <c r="P20" s="23">
        <v>0</v>
      </c>
      <c r="Q20" s="23">
        <v>116.19746872775998</v>
      </c>
      <c r="R20" s="23">
        <v>-116.19746872775998</v>
      </c>
    </row>
    <row r="21" spans="1:18" ht="22.5" x14ac:dyDescent="0.6">
      <c r="A21" s="23">
        <v>19</v>
      </c>
      <c r="B21" s="23" t="s">
        <v>45</v>
      </c>
      <c r="C21" s="23">
        <v>211831.81568552638</v>
      </c>
      <c r="D21" s="23">
        <v>25491.070220674072</v>
      </c>
      <c r="E21" s="23">
        <v>34528.585956740797</v>
      </c>
      <c r="F21" s="23">
        <v>-9037.5157360667254</v>
      </c>
      <c r="G21" s="23">
        <v>3451.4347617612443</v>
      </c>
      <c r="H21" s="23">
        <v>2880.9126933231587</v>
      </c>
      <c r="I21" s="23">
        <v>570.52206843808563</v>
      </c>
      <c r="J21" s="23">
        <v>2778.6158250000003</v>
      </c>
      <c r="K21" s="23">
        <v>5825.3749313519756</v>
      </c>
      <c r="L21" s="23">
        <v>-3046.7591063519753</v>
      </c>
      <c r="M21" s="23">
        <v>442.51808150000011</v>
      </c>
      <c r="N21" s="23">
        <v>2372.5163356778953</v>
      </c>
      <c r="O21" s="23">
        <v>-1929.9982541778952</v>
      </c>
      <c r="P21" s="23">
        <v>19.227</v>
      </c>
      <c r="Q21" s="23">
        <v>148.28227097986846</v>
      </c>
      <c r="R21" s="23">
        <v>-129.05527097986845</v>
      </c>
    </row>
    <row r="22" spans="1:18" ht="22.5" x14ac:dyDescent="0.6">
      <c r="A22" s="23">
        <v>20</v>
      </c>
      <c r="B22" s="23" t="s">
        <v>46</v>
      </c>
      <c r="C22" s="23">
        <v>196080.17355972741</v>
      </c>
      <c r="D22" s="23">
        <v>17951.287643396397</v>
      </c>
      <c r="E22" s="23">
        <v>31961.068290235569</v>
      </c>
      <c r="F22" s="23">
        <v>-14009.780646839172</v>
      </c>
      <c r="G22" s="23">
        <v>2136.3970361222628</v>
      </c>
      <c r="H22" s="23">
        <v>2666.6903604122926</v>
      </c>
      <c r="I22" s="23">
        <v>-530.29332429002989</v>
      </c>
      <c r="J22" s="23">
        <v>1882.1524999999999</v>
      </c>
      <c r="K22" s="23">
        <v>5392.2047728925036</v>
      </c>
      <c r="L22" s="23">
        <v>-3510.0522728925034</v>
      </c>
      <c r="M22" s="23">
        <v>216.37556599999999</v>
      </c>
      <c r="N22" s="23">
        <v>2196.0979438689469</v>
      </c>
      <c r="O22" s="23">
        <v>-1979.722377868947</v>
      </c>
      <c r="P22" s="23">
        <v>34.278000000000006</v>
      </c>
      <c r="Q22" s="23">
        <v>137.25612149180918</v>
      </c>
      <c r="R22" s="23">
        <v>-102.97812149180918</v>
      </c>
    </row>
    <row r="23" spans="1:18" ht="22.5" x14ac:dyDescent="0.6">
      <c r="A23" s="23">
        <v>21</v>
      </c>
      <c r="B23" s="23" t="s">
        <v>47</v>
      </c>
      <c r="C23" s="23">
        <v>109272.83214080612</v>
      </c>
      <c r="D23" s="23">
        <v>8199.7346316750045</v>
      </c>
      <c r="E23" s="23">
        <v>17811.4716389514</v>
      </c>
      <c r="F23" s="23">
        <v>-9611.7370072763952</v>
      </c>
      <c r="G23" s="23">
        <v>919.21079989877103</v>
      </c>
      <c r="H23" s="23">
        <v>1486.1105171149632</v>
      </c>
      <c r="I23" s="23">
        <v>-566.89971721619213</v>
      </c>
      <c r="J23" s="23">
        <v>1113.1866399999999</v>
      </c>
      <c r="K23" s="23">
        <v>3005.0028838721682</v>
      </c>
      <c r="L23" s="23">
        <v>-1891.8162438721683</v>
      </c>
      <c r="M23" s="23">
        <v>105.16887</v>
      </c>
      <c r="N23" s="23">
        <v>1223.8557199770285</v>
      </c>
      <c r="O23" s="23">
        <v>-1118.6868499770285</v>
      </c>
      <c r="P23" s="23">
        <v>1.1299999999999999</v>
      </c>
      <c r="Q23" s="23">
        <v>76.490982498564279</v>
      </c>
      <c r="R23" s="23">
        <v>-75.360982498564283</v>
      </c>
    </row>
    <row r="24" spans="1:18" ht="22.5" x14ac:dyDescent="0.6">
      <c r="A24" s="23">
        <v>22</v>
      </c>
      <c r="B24" s="23" t="s">
        <v>48</v>
      </c>
      <c r="C24" s="23">
        <v>69755.258739224184</v>
      </c>
      <c r="D24" s="23">
        <v>8417.3140523836737</v>
      </c>
      <c r="E24" s="23">
        <v>11370.107174493542</v>
      </c>
      <c r="F24" s="23">
        <v>-2952.7931221098679</v>
      </c>
      <c r="G24" s="23">
        <v>973.27246172226103</v>
      </c>
      <c r="H24" s="23">
        <v>948.6715188534489</v>
      </c>
      <c r="I24" s="23">
        <v>24.600942868812126</v>
      </c>
      <c r="J24" s="23">
        <v>3423.891552</v>
      </c>
      <c r="K24" s="23">
        <v>1918.2696153286652</v>
      </c>
      <c r="L24" s="23">
        <v>1505.6219366713349</v>
      </c>
      <c r="M24" s="23">
        <v>85.8272975</v>
      </c>
      <c r="N24" s="23">
        <v>781.25889787931078</v>
      </c>
      <c r="O24" s="23">
        <v>-695.43160037931079</v>
      </c>
      <c r="P24" s="23">
        <v>72.814999999999998</v>
      </c>
      <c r="Q24" s="23">
        <v>48.828681117456924</v>
      </c>
      <c r="R24" s="23">
        <v>23.986318882543074</v>
      </c>
    </row>
    <row r="25" spans="1:18" ht="22.5" x14ac:dyDescent="0.6">
      <c r="A25" s="23">
        <v>23</v>
      </c>
      <c r="B25" s="23" t="s">
        <v>72</v>
      </c>
      <c r="C25" s="23">
        <v>38438.70939048376</v>
      </c>
      <c r="D25" s="23">
        <v>2334.5288403003069</v>
      </c>
      <c r="E25" s="23">
        <v>6265.5096306488531</v>
      </c>
      <c r="F25" s="23">
        <v>-3930.9807903485462</v>
      </c>
      <c r="G25" s="23">
        <v>720.54826239165845</v>
      </c>
      <c r="H25" s="23">
        <v>522.7664477105792</v>
      </c>
      <c r="I25" s="23">
        <v>197.78181468107925</v>
      </c>
      <c r="J25" s="23">
        <v>2094.5617299999999</v>
      </c>
      <c r="K25" s="23">
        <v>1057.0645082383035</v>
      </c>
      <c r="L25" s="23">
        <v>1037.4972217616964</v>
      </c>
      <c r="M25" s="23">
        <v>124.30297900000001</v>
      </c>
      <c r="N25" s="23">
        <v>430.51354517341809</v>
      </c>
      <c r="O25" s="23">
        <v>-306.2105661734181</v>
      </c>
      <c r="P25" s="23">
        <v>42.9</v>
      </c>
      <c r="Q25" s="23">
        <v>26.907096573338631</v>
      </c>
      <c r="R25" s="23">
        <v>15.992903426661368</v>
      </c>
    </row>
    <row r="26" spans="1:18" ht="22.5" x14ac:dyDescent="0.6">
      <c r="A26" s="23">
        <v>24</v>
      </c>
      <c r="B26" s="23" t="s">
        <v>73</v>
      </c>
      <c r="C26" s="23">
        <v>107046.55947404889</v>
      </c>
      <c r="D26" s="23">
        <v>12104.745464687176</v>
      </c>
      <c r="E26" s="23">
        <v>17448.589194269971</v>
      </c>
      <c r="F26" s="23">
        <v>-5343.8437295827953</v>
      </c>
      <c r="G26" s="23">
        <v>2401.2180420321406</v>
      </c>
      <c r="H26" s="23">
        <v>1455.8332088470647</v>
      </c>
      <c r="I26" s="23">
        <v>945.38483318507588</v>
      </c>
      <c r="J26" s="23">
        <v>4700.9191250000003</v>
      </c>
      <c r="K26" s="23">
        <v>2943.7803855363441</v>
      </c>
      <c r="L26" s="23">
        <v>1757.1387394636563</v>
      </c>
      <c r="M26" s="23">
        <v>222.6002555</v>
      </c>
      <c r="N26" s="23">
        <v>1198.9214661093474</v>
      </c>
      <c r="O26" s="23">
        <v>-976.32121060934742</v>
      </c>
      <c r="P26" s="23">
        <v>310.55500000000001</v>
      </c>
      <c r="Q26" s="23">
        <v>74.932591631834214</v>
      </c>
      <c r="R26" s="23">
        <v>235.62240836816579</v>
      </c>
    </row>
    <row r="27" spans="1:18" ht="22.5" x14ac:dyDescent="0.6">
      <c r="A27" s="23">
        <v>25</v>
      </c>
      <c r="B27" s="23" t="s">
        <v>105</v>
      </c>
      <c r="C27" s="23">
        <v>21429.874693921793</v>
      </c>
      <c r="D27" s="23">
        <v>4755.3239900595909</v>
      </c>
      <c r="E27" s="23">
        <v>3493.0695751092521</v>
      </c>
      <c r="F27" s="23">
        <v>1262.2544149503387</v>
      </c>
      <c r="G27" s="23">
        <v>692.61000085765227</v>
      </c>
      <c r="H27" s="23">
        <v>291.44629583733638</v>
      </c>
      <c r="I27" s="23">
        <v>401.16370502031589</v>
      </c>
      <c r="J27" s="23">
        <v>1710.0007900000001</v>
      </c>
      <c r="K27" s="23">
        <v>589.32155408284927</v>
      </c>
      <c r="L27" s="23">
        <v>1120.6792359171509</v>
      </c>
      <c r="M27" s="23">
        <v>76.299486999999999</v>
      </c>
      <c r="N27" s="23">
        <v>240.01459657192405</v>
      </c>
      <c r="O27" s="23">
        <v>-163.71510957192405</v>
      </c>
      <c r="P27" s="23">
        <v>9.4049999999999994</v>
      </c>
      <c r="Q27" s="23">
        <v>15.000912285745253</v>
      </c>
      <c r="R27" s="23">
        <v>-5.5959122857452535</v>
      </c>
    </row>
    <row r="28" spans="1:18" ht="22.5" x14ac:dyDescent="0.6">
      <c r="A28" s="23">
        <v>26</v>
      </c>
      <c r="B28" s="23" t="s">
        <v>75</v>
      </c>
      <c r="C28" s="23">
        <v>38497.322226824617</v>
      </c>
      <c r="D28" s="23">
        <v>2115.1909926506296</v>
      </c>
      <c r="E28" s="23">
        <v>6275.0635229724121</v>
      </c>
      <c r="F28" s="23">
        <v>-4159.8725303217825</v>
      </c>
      <c r="G28" s="23">
        <v>470.33739651337669</v>
      </c>
      <c r="H28" s="23">
        <v>523.56358228481474</v>
      </c>
      <c r="I28" s="23">
        <v>-53.226185771438054</v>
      </c>
      <c r="J28" s="23">
        <v>1040.33392</v>
      </c>
      <c r="K28" s="23">
        <v>1058.6763612376772</v>
      </c>
      <c r="L28" s="23">
        <v>-18.342441237677122</v>
      </c>
      <c r="M28" s="23">
        <v>77.101900000000001</v>
      </c>
      <c r="N28" s="23">
        <v>431.17000894043571</v>
      </c>
      <c r="O28" s="23">
        <v>-354.06810894043571</v>
      </c>
      <c r="P28" s="23">
        <v>0</v>
      </c>
      <c r="Q28" s="23">
        <v>26.948125558777232</v>
      </c>
      <c r="R28" s="23">
        <v>-26.948125558777232</v>
      </c>
    </row>
    <row r="29" spans="1:18" ht="22.5" x14ac:dyDescent="0.6">
      <c r="A29" s="23">
        <v>27</v>
      </c>
      <c r="B29" s="23" t="s">
        <v>53</v>
      </c>
      <c r="C29" s="23">
        <v>35988.859444037633</v>
      </c>
      <c r="D29" s="23">
        <v>7018.5788804690328</v>
      </c>
      <c r="E29" s="23">
        <v>5866.1840893781346</v>
      </c>
      <c r="F29" s="23">
        <v>1152.3947910908983</v>
      </c>
      <c r="G29" s="23">
        <v>951.85023137573307</v>
      </c>
      <c r="H29" s="23">
        <v>489.4484884389118</v>
      </c>
      <c r="I29" s="23">
        <v>462.40174293682128</v>
      </c>
      <c r="J29" s="23">
        <v>718.88833499999998</v>
      </c>
      <c r="K29" s="23">
        <v>989.69363471103497</v>
      </c>
      <c r="L29" s="23">
        <v>-270.80529971103499</v>
      </c>
      <c r="M29" s="23">
        <v>29.642922499999997</v>
      </c>
      <c r="N29" s="23">
        <v>403.07522577322146</v>
      </c>
      <c r="O29" s="23">
        <v>-373.43230327322146</v>
      </c>
      <c r="P29" s="23">
        <v>0</v>
      </c>
      <c r="Q29" s="23">
        <v>25.192201610826341</v>
      </c>
      <c r="R29" s="23">
        <v>-25.192201610826341</v>
      </c>
    </row>
    <row r="30" spans="1:18" ht="22.5" x14ac:dyDescent="0.6">
      <c r="A30" s="23"/>
      <c r="B30" s="23"/>
      <c r="C30" s="23">
        <v>4764481.3497852562</v>
      </c>
      <c r="D30" s="23">
        <v>312020.03471373505</v>
      </c>
      <c r="E30" s="23">
        <v>776610.46001499682</v>
      </c>
      <c r="F30" s="23">
        <v>-464590.42530126177</v>
      </c>
      <c r="G30" s="23">
        <v>41540.303851247641</v>
      </c>
      <c r="H30" s="23">
        <v>64796.946357079483</v>
      </c>
      <c r="I30" s="23">
        <v>-23256.642505831842</v>
      </c>
      <c r="J30" s="23">
        <v>79934.29566199999</v>
      </c>
      <c r="K30" s="23">
        <v>131023.23711909456</v>
      </c>
      <c r="L30" s="23">
        <v>-51088.941457094566</v>
      </c>
      <c r="M30" s="23">
        <v>8313.2667905000017</v>
      </c>
      <c r="N30" s="23">
        <v>53362.19111759487</v>
      </c>
      <c r="O30" s="23">
        <v>-45048.924327094865</v>
      </c>
      <c r="P30" s="23">
        <v>1934.2379999999998</v>
      </c>
      <c r="Q30" s="23">
        <v>3335.1369448496794</v>
      </c>
      <c r="R30" s="23">
        <v>-1400.8989448496795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rightToLeft="1" tabSelected="1" workbookViewId="0">
      <selection activeCell="N13" sqref="N13"/>
    </sheetView>
  </sheetViews>
  <sheetFormatPr defaultRowHeight="14.25" x14ac:dyDescent="0.2"/>
  <sheetData>
    <row r="2" spans="1:6" ht="22.5" x14ac:dyDescent="0.2">
      <c r="A2" s="212" t="s">
        <v>94</v>
      </c>
      <c r="B2" s="212" t="s">
        <v>96</v>
      </c>
      <c r="C2" s="212" t="s">
        <v>97</v>
      </c>
      <c r="D2" s="212" t="s">
        <v>98</v>
      </c>
      <c r="E2" s="212" t="s">
        <v>99</v>
      </c>
      <c r="F2" s="212" t="s">
        <v>100</v>
      </c>
    </row>
    <row r="3" spans="1:6" ht="22.5" x14ac:dyDescent="0.2">
      <c r="A3" s="212" t="s">
        <v>27</v>
      </c>
      <c r="B3" s="212">
        <v>4470.2482529505487</v>
      </c>
      <c r="C3" s="212">
        <v>377.17584378328303</v>
      </c>
      <c r="D3" s="212">
        <v>1236.7701749999999</v>
      </c>
      <c r="E3" s="212">
        <v>296.46376649999996</v>
      </c>
      <c r="F3" s="212">
        <v>0</v>
      </c>
    </row>
    <row r="4" spans="1:6" ht="22.5" x14ac:dyDescent="0.2">
      <c r="A4" s="212" t="s">
        <v>66</v>
      </c>
      <c r="B4" s="212">
        <v>4500.1398924510086</v>
      </c>
      <c r="C4" s="212">
        <v>209.05931831942567</v>
      </c>
      <c r="D4" s="212">
        <v>679.12953500000003</v>
      </c>
      <c r="E4" s="212">
        <v>108.03916650000001</v>
      </c>
      <c r="F4" s="212">
        <v>5.74</v>
      </c>
    </row>
    <row r="5" spans="1:6" ht="22.5" x14ac:dyDescent="0.2">
      <c r="A5" s="212" t="s">
        <v>65</v>
      </c>
      <c r="B5" s="212">
        <v>1833.6528443712427</v>
      </c>
      <c r="C5" s="212">
        <v>673.97250314193138</v>
      </c>
      <c r="D5" s="212">
        <v>6.9147499999999997</v>
      </c>
      <c r="E5" s="212">
        <v>24.481505000000002</v>
      </c>
      <c r="F5" s="212">
        <v>0.8</v>
      </c>
    </row>
    <row r="6" spans="1:6" ht="22.5" x14ac:dyDescent="0.2">
      <c r="A6" s="212" t="s">
        <v>30</v>
      </c>
      <c r="B6" s="212">
        <v>3410.8574721794075</v>
      </c>
      <c r="C6" s="212">
        <v>1082.7019958018607</v>
      </c>
      <c r="D6" s="212">
        <v>1448.3097049999997</v>
      </c>
      <c r="E6" s="212">
        <v>67.401067499999996</v>
      </c>
      <c r="F6" s="212">
        <v>46.79</v>
      </c>
    </row>
    <row r="7" spans="1:6" ht="22.5" x14ac:dyDescent="0.2">
      <c r="A7" s="212" t="s">
        <v>67</v>
      </c>
      <c r="B7" s="212">
        <v>8594.4982272974848</v>
      </c>
      <c r="C7" s="212">
        <v>1787.536551904084</v>
      </c>
      <c r="D7" s="212">
        <v>3533.1972799999999</v>
      </c>
      <c r="E7" s="212">
        <v>553.07875200000001</v>
      </c>
      <c r="F7" s="212">
        <v>91.850999999999999</v>
      </c>
    </row>
    <row r="8" spans="1:6" ht="22.5" x14ac:dyDescent="0.2">
      <c r="A8" s="212" t="s">
        <v>32</v>
      </c>
      <c r="B8" s="212">
        <v>24044.694409219795</v>
      </c>
      <c r="C8" s="212">
        <v>2782.1221278261164</v>
      </c>
      <c r="D8" s="212">
        <v>1375.3411741493501</v>
      </c>
      <c r="E8" s="212">
        <v>234.286384</v>
      </c>
      <c r="F8" s="212">
        <v>33.132000000000005</v>
      </c>
    </row>
    <row r="9" spans="1:6" ht="22.5" x14ac:dyDescent="0.2">
      <c r="A9" s="212" t="s">
        <v>33</v>
      </c>
      <c r="B9" s="212">
        <v>19924.610606564573</v>
      </c>
      <c r="C9" s="212">
        <v>4213.8159975091385</v>
      </c>
      <c r="D9" s="212">
        <v>2994.057695</v>
      </c>
      <c r="E9" s="212">
        <v>615.84126849999996</v>
      </c>
      <c r="F9" s="212">
        <v>791.32400000000007</v>
      </c>
    </row>
    <row r="10" spans="1:6" ht="22.5" x14ac:dyDescent="0.2">
      <c r="A10" s="212" t="s">
        <v>68</v>
      </c>
      <c r="B10" s="212">
        <v>17855.262482698152</v>
      </c>
      <c r="C10" s="212">
        <v>1507.7923905889156</v>
      </c>
      <c r="D10" s="212">
        <v>5486.5920149999993</v>
      </c>
      <c r="E10" s="212">
        <v>601.32444250000003</v>
      </c>
      <c r="F10" s="212">
        <v>29.638000000000002</v>
      </c>
    </row>
    <row r="11" spans="1:6" ht="22.5" x14ac:dyDescent="0.2">
      <c r="A11" s="212" t="s">
        <v>69</v>
      </c>
      <c r="B11" s="212">
        <v>9424.4604327196521</v>
      </c>
      <c r="C11" s="212">
        <v>1122.9652905513979</v>
      </c>
      <c r="D11" s="212">
        <v>1238.52198</v>
      </c>
      <c r="E11" s="212">
        <v>114.05755400000001</v>
      </c>
      <c r="F11" s="212">
        <v>9.83</v>
      </c>
    </row>
    <row r="12" spans="1:6" ht="22.5" x14ac:dyDescent="0.2">
      <c r="A12" s="212" t="s">
        <v>36</v>
      </c>
      <c r="B12" s="212">
        <v>26230.170373921381</v>
      </c>
      <c r="C12" s="212">
        <v>2127.8587266996819</v>
      </c>
      <c r="D12" s="212">
        <v>5266.2303549999997</v>
      </c>
      <c r="E12" s="212">
        <v>1934.8932705000002</v>
      </c>
      <c r="F12" s="212">
        <v>30.38</v>
      </c>
    </row>
    <row r="13" spans="1:6" ht="22.5" x14ac:dyDescent="0.2">
      <c r="A13" s="212" t="s">
        <v>104</v>
      </c>
      <c r="B13" s="212">
        <v>3521.7333210680263</v>
      </c>
      <c r="C13" s="212">
        <v>656.38526546410117</v>
      </c>
      <c r="D13" s="212">
        <v>2564.4966800000002</v>
      </c>
      <c r="E13" s="212">
        <v>176.06062999999997</v>
      </c>
      <c r="F13" s="212">
        <v>0</v>
      </c>
    </row>
    <row r="14" spans="1:6" ht="22.5" x14ac:dyDescent="0.2">
      <c r="A14" s="212" t="s">
        <v>38</v>
      </c>
      <c r="B14" s="212">
        <v>6807.6949425847206</v>
      </c>
      <c r="C14" s="212">
        <v>877.30462130830426</v>
      </c>
      <c r="D14" s="212">
        <v>641.15741585064984</v>
      </c>
      <c r="E14" s="212">
        <v>114.235567</v>
      </c>
      <c r="F14" s="212">
        <v>1.8699999999999999</v>
      </c>
    </row>
    <row r="15" spans="1:6" ht="22.5" x14ac:dyDescent="0.2">
      <c r="A15" s="212" t="s">
        <v>39</v>
      </c>
      <c r="B15" s="212">
        <v>6065.8163015070377</v>
      </c>
      <c r="C15" s="212">
        <v>577.04596030574555</v>
      </c>
      <c r="D15" s="212">
        <v>915.48313499999995</v>
      </c>
      <c r="E15" s="212">
        <v>49.736318499999996</v>
      </c>
      <c r="F15" s="212">
        <v>1.89</v>
      </c>
    </row>
    <row r="16" spans="1:6" ht="22.5" x14ac:dyDescent="0.2">
      <c r="A16" s="212" t="s">
        <v>40</v>
      </c>
      <c r="B16" s="212">
        <v>26497.601881514805</v>
      </c>
      <c r="C16" s="212">
        <v>3939.2155854668217</v>
      </c>
      <c r="D16" s="212">
        <v>19412.074899999996</v>
      </c>
      <c r="E16" s="212">
        <v>684.58466599999997</v>
      </c>
      <c r="F16" s="212">
        <v>393.286</v>
      </c>
    </row>
    <row r="17" spans="1:6" ht="22.5" x14ac:dyDescent="0.2">
      <c r="A17" s="212" t="s">
        <v>41</v>
      </c>
      <c r="B17" s="212">
        <v>21210.989498135656</v>
      </c>
      <c r="C17" s="212">
        <v>2527.6932468413161</v>
      </c>
      <c r="D17" s="212">
        <v>3259.9693600000001</v>
      </c>
      <c r="E17" s="212">
        <v>84.697502000000014</v>
      </c>
      <c r="F17" s="212">
        <v>0.3</v>
      </c>
    </row>
    <row r="18" spans="1:6" ht="22.5" x14ac:dyDescent="0.2">
      <c r="A18" s="212" t="s">
        <v>71</v>
      </c>
      <c r="B18" s="212">
        <v>4824.7449518243966</v>
      </c>
      <c r="C18" s="212">
        <v>740.70879636605605</v>
      </c>
      <c r="D18" s="212">
        <v>872.38076999999998</v>
      </c>
      <c r="E18" s="212">
        <v>124.40320699999998</v>
      </c>
      <c r="F18" s="212">
        <v>0</v>
      </c>
    </row>
    <row r="19" spans="1:6" ht="22.5" x14ac:dyDescent="0.2">
      <c r="A19" s="212" t="s">
        <v>43</v>
      </c>
      <c r="B19" s="212">
        <v>13263.697171658534</v>
      </c>
      <c r="C19" s="212">
        <v>1543.723259987848</v>
      </c>
      <c r="D19" s="212">
        <v>3674.8741600000003</v>
      </c>
      <c r="E19" s="212">
        <v>1091.9320600000001</v>
      </c>
      <c r="F19" s="212">
        <v>7.0970000000000004</v>
      </c>
    </row>
    <row r="20" spans="1:6" ht="22.5" x14ac:dyDescent="0.2">
      <c r="A20" s="212" t="s">
        <v>44</v>
      </c>
      <c r="B20" s="212">
        <v>21151.386934772705</v>
      </c>
      <c r="C20" s="212">
        <v>2076.3473767064993</v>
      </c>
      <c r="D20" s="212">
        <v>5866.2441599999993</v>
      </c>
      <c r="E20" s="212">
        <v>57.912303999999999</v>
      </c>
      <c r="F20" s="212">
        <v>0</v>
      </c>
    </row>
    <row r="21" spans="1:6" ht="22.5" x14ac:dyDescent="0.2">
      <c r="A21" s="212" t="s">
        <v>45</v>
      </c>
      <c r="B21" s="212">
        <v>25491.070220674072</v>
      </c>
      <c r="C21" s="212">
        <v>3451.4347617612443</v>
      </c>
      <c r="D21" s="212">
        <v>2778.6158250000003</v>
      </c>
      <c r="E21" s="212">
        <v>442.51808150000011</v>
      </c>
      <c r="F21" s="212">
        <v>19.227</v>
      </c>
    </row>
    <row r="22" spans="1:6" ht="22.5" x14ac:dyDescent="0.2">
      <c r="A22" s="212" t="s">
        <v>46</v>
      </c>
      <c r="B22" s="212">
        <v>17951.287643396397</v>
      </c>
      <c r="C22" s="212">
        <v>2136.3970361222628</v>
      </c>
      <c r="D22" s="212">
        <v>1882.1524999999999</v>
      </c>
      <c r="E22" s="212">
        <v>216.37556599999999</v>
      </c>
      <c r="F22" s="212">
        <v>34.278000000000006</v>
      </c>
    </row>
    <row r="23" spans="1:6" ht="22.5" x14ac:dyDescent="0.2">
      <c r="A23" s="212" t="s">
        <v>47</v>
      </c>
      <c r="B23" s="212">
        <v>8199.7346316750045</v>
      </c>
      <c r="C23" s="212">
        <v>919.21079989877103</v>
      </c>
      <c r="D23" s="212">
        <v>1113.1866399999999</v>
      </c>
      <c r="E23" s="212">
        <v>105.16887</v>
      </c>
      <c r="F23" s="212">
        <v>1.1299999999999999</v>
      </c>
    </row>
    <row r="24" spans="1:6" ht="22.5" x14ac:dyDescent="0.2">
      <c r="A24" s="212" t="s">
        <v>48</v>
      </c>
      <c r="B24" s="212">
        <v>8417.3140523836737</v>
      </c>
      <c r="C24" s="212">
        <v>973.27246172226103</v>
      </c>
      <c r="D24" s="212">
        <v>3423.891552</v>
      </c>
      <c r="E24" s="212">
        <v>85.8272975</v>
      </c>
      <c r="F24" s="212">
        <v>72.814999999999998</v>
      </c>
    </row>
    <row r="25" spans="1:6" ht="22.5" x14ac:dyDescent="0.2">
      <c r="A25" s="212" t="s">
        <v>72</v>
      </c>
      <c r="B25" s="212">
        <v>2334.5288403003069</v>
      </c>
      <c r="C25" s="212">
        <v>720.54826239165845</v>
      </c>
      <c r="D25" s="212">
        <v>2094.5617299999999</v>
      </c>
      <c r="E25" s="212">
        <v>124.30297900000001</v>
      </c>
      <c r="F25" s="212">
        <v>42.9</v>
      </c>
    </row>
    <row r="26" spans="1:6" ht="22.5" x14ac:dyDescent="0.2">
      <c r="A26" s="212" t="s">
        <v>73</v>
      </c>
      <c r="B26" s="212">
        <v>12104.745464687176</v>
      </c>
      <c r="C26" s="212">
        <v>2401.2180420321406</v>
      </c>
      <c r="D26" s="212">
        <v>4700.9191250000003</v>
      </c>
      <c r="E26" s="212">
        <v>222.6002555</v>
      </c>
      <c r="F26" s="212">
        <v>310.55500000000001</v>
      </c>
    </row>
    <row r="27" spans="1:6" ht="22.5" x14ac:dyDescent="0.2">
      <c r="A27" s="212" t="s">
        <v>105</v>
      </c>
      <c r="B27" s="212">
        <v>4755.3239900595909</v>
      </c>
      <c r="C27" s="212">
        <v>692.61000085765227</v>
      </c>
      <c r="D27" s="212">
        <v>1710.0007900000001</v>
      </c>
      <c r="E27" s="212">
        <v>76.299486999999999</v>
      </c>
      <c r="F27" s="212">
        <v>9.4049999999999994</v>
      </c>
    </row>
    <row r="28" spans="1:6" ht="22.5" x14ac:dyDescent="0.2">
      <c r="A28" s="212" t="s">
        <v>75</v>
      </c>
      <c r="B28" s="212">
        <v>2115.1909926506296</v>
      </c>
      <c r="C28" s="212">
        <v>470.33739651337669</v>
      </c>
      <c r="D28" s="212">
        <v>1040.33392</v>
      </c>
      <c r="E28" s="212">
        <v>77.101900000000001</v>
      </c>
      <c r="F28" s="212">
        <v>0</v>
      </c>
    </row>
    <row r="29" spans="1:6" ht="22.5" x14ac:dyDescent="0.2">
      <c r="A29" s="212" t="s">
        <v>53</v>
      </c>
      <c r="B29" s="212">
        <v>7018.5788804690328</v>
      </c>
      <c r="C29" s="212">
        <v>951.85023137573307</v>
      </c>
      <c r="D29" s="212">
        <v>718.88833499999998</v>
      </c>
      <c r="E29" s="212">
        <v>29.642922499999997</v>
      </c>
      <c r="F29" s="212">
        <v>0</v>
      </c>
    </row>
    <row r="30" spans="1:6" ht="22.5" x14ac:dyDescent="0.2">
      <c r="A30" s="212"/>
      <c r="B30" s="212">
        <v>312020.03471373505</v>
      </c>
      <c r="C30" s="212">
        <v>41540.303851247641</v>
      </c>
      <c r="D30" s="212">
        <v>79934.29566199999</v>
      </c>
      <c r="E30" s="212">
        <v>8313.2667905000017</v>
      </c>
      <c r="F30" s="212">
        <v>1934.2379999999998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rightToLeft="1" workbookViewId="0">
      <selection activeCell="E33" sqref="E33"/>
    </sheetView>
  </sheetViews>
  <sheetFormatPr defaultRowHeight="12.75" x14ac:dyDescent="0.2"/>
  <cols>
    <col min="1" max="1" width="4.75" style="24" customWidth="1"/>
    <col min="2" max="2" width="13.375" style="24" customWidth="1"/>
    <col min="3" max="11" width="9" style="24" customWidth="1"/>
    <col min="12" max="12" width="11" style="24" customWidth="1"/>
    <col min="13" max="14" width="9" style="24" customWidth="1"/>
    <col min="15" max="256" width="9" style="24"/>
    <col min="257" max="257" width="3.75" style="24" customWidth="1"/>
    <col min="258" max="258" width="13.375" style="24" customWidth="1"/>
    <col min="259" max="270" width="9" style="24" customWidth="1"/>
    <col min="271" max="512" width="9" style="24"/>
    <col min="513" max="513" width="3.75" style="24" customWidth="1"/>
    <col min="514" max="514" width="13.375" style="24" customWidth="1"/>
    <col min="515" max="526" width="9" style="24" customWidth="1"/>
    <col min="527" max="768" width="9" style="24"/>
    <col min="769" max="769" width="3.75" style="24" customWidth="1"/>
    <col min="770" max="770" width="13.375" style="24" customWidth="1"/>
    <col min="771" max="782" width="9" style="24" customWidth="1"/>
    <col min="783" max="1024" width="9" style="24"/>
    <col min="1025" max="1025" width="3.75" style="24" customWidth="1"/>
    <col min="1026" max="1026" width="13.375" style="24" customWidth="1"/>
    <col min="1027" max="1038" width="9" style="24" customWidth="1"/>
    <col min="1039" max="1280" width="9" style="24"/>
    <col min="1281" max="1281" width="3.75" style="24" customWidth="1"/>
    <col min="1282" max="1282" width="13.375" style="24" customWidth="1"/>
    <col min="1283" max="1294" width="9" style="24" customWidth="1"/>
    <col min="1295" max="1536" width="9" style="24"/>
    <col min="1537" max="1537" width="3.75" style="24" customWidth="1"/>
    <col min="1538" max="1538" width="13.375" style="24" customWidth="1"/>
    <col min="1539" max="1550" width="9" style="24" customWidth="1"/>
    <col min="1551" max="1792" width="9" style="24"/>
    <col min="1793" max="1793" width="3.75" style="24" customWidth="1"/>
    <col min="1794" max="1794" width="13.375" style="24" customWidth="1"/>
    <col min="1795" max="1806" width="9" style="24" customWidth="1"/>
    <col min="1807" max="2048" width="9" style="24"/>
    <col min="2049" max="2049" width="3.75" style="24" customWidth="1"/>
    <col min="2050" max="2050" width="13.375" style="24" customWidth="1"/>
    <col min="2051" max="2062" width="9" style="24" customWidth="1"/>
    <col min="2063" max="2304" width="9" style="24"/>
    <col min="2305" max="2305" width="3.75" style="24" customWidth="1"/>
    <col min="2306" max="2306" width="13.375" style="24" customWidth="1"/>
    <col min="2307" max="2318" width="9" style="24" customWidth="1"/>
    <col min="2319" max="2560" width="9" style="24"/>
    <col min="2561" max="2561" width="3.75" style="24" customWidth="1"/>
    <col min="2562" max="2562" width="13.375" style="24" customWidth="1"/>
    <col min="2563" max="2574" width="9" style="24" customWidth="1"/>
    <col min="2575" max="2816" width="9" style="24"/>
    <col min="2817" max="2817" width="3.75" style="24" customWidth="1"/>
    <col min="2818" max="2818" width="13.375" style="24" customWidth="1"/>
    <col min="2819" max="2830" width="9" style="24" customWidth="1"/>
    <col min="2831" max="3072" width="9" style="24"/>
    <col min="3073" max="3073" width="3.75" style="24" customWidth="1"/>
    <col min="3074" max="3074" width="13.375" style="24" customWidth="1"/>
    <col min="3075" max="3086" width="9" style="24" customWidth="1"/>
    <col min="3087" max="3328" width="9" style="24"/>
    <col min="3329" max="3329" width="3.75" style="24" customWidth="1"/>
    <col min="3330" max="3330" width="13.375" style="24" customWidth="1"/>
    <col min="3331" max="3342" width="9" style="24" customWidth="1"/>
    <col min="3343" max="3584" width="9" style="24"/>
    <col min="3585" max="3585" width="3.75" style="24" customWidth="1"/>
    <col min="3586" max="3586" width="13.375" style="24" customWidth="1"/>
    <col min="3587" max="3598" width="9" style="24" customWidth="1"/>
    <col min="3599" max="3840" width="9" style="24"/>
    <col min="3841" max="3841" width="3.75" style="24" customWidth="1"/>
    <col min="3842" max="3842" width="13.375" style="24" customWidth="1"/>
    <col min="3843" max="3854" width="9" style="24" customWidth="1"/>
    <col min="3855" max="4096" width="9" style="24"/>
    <col min="4097" max="4097" width="3.75" style="24" customWidth="1"/>
    <col min="4098" max="4098" width="13.375" style="24" customWidth="1"/>
    <col min="4099" max="4110" width="9" style="24" customWidth="1"/>
    <col min="4111" max="4352" width="9" style="24"/>
    <col min="4353" max="4353" width="3.75" style="24" customWidth="1"/>
    <col min="4354" max="4354" width="13.375" style="24" customWidth="1"/>
    <col min="4355" max="4366" width="9" style="24" customWidth="1"/>
    <col min="4367" max="4608" width="9" style="24"/>
    <col min="4609" max="4609" width="3.75" style="24" customWidth="1"/>
    <col min="4610" max="4610" width="13.375" style="24" customWidth="1"/>
    <col min="4611" max="4622" width="9" style="24" customWidth="1"/>
    <col min="4623" max="4864" width="9" style="24"/>
    <col min="4865" max="4865" width="3.75" style="24" customWidth="1"/>
    <col min="4866" max="4866" width="13.375" style="24" customWidth="1"/>
    <col min="4867" max="4878" width="9" style="24" customWidth="1"/>
    <col min="4879" max="5120" width="9" style="24"/>
    <col min="5121" max="5121" width="3.75" style="24" customWidth="1"/>
    <col min="5122" max="5122" width="13.375" style="24" customWidth="1"/>
    <col min="5123" max="5134" width="9" style="24" customWidth="1"/>
    <col min="5135" max="5376" width="9" style="24"/>
    <col min="5377" max="5377" width="3.75" style="24" customWidth="1"/>
    <col min="5378" max="5378" width="13.375" style="24" customWidth="1"/>
    <col min="5379" max="5390" width="9" style="24" customWidth="1"/>
    <col min="5391" max="5632" width="9" style="24"/>
    <col min="5633" max="5633" width="3.75" style="24" customWidth="1"/>
    <col min="5634" max="5634" width="13.375" style="24" customWidth="1"/>
    <col min="5635" max="5646" width="9" style="24" customWidth="1"/>
    <col min="5647" max="5888" width="9" style="24"/>
    <col min="5889" max="5889" width="3.75" style="24" customWidth="1"/>
    <col min="5890" max="5890" width="13.375" style="24" customWidth="1"/>
    <col min="5891" max="5902" width="9" style="24" customWidth="1"/>
    <col min="5903" max="6144" width="9" style="24"/>
    <col min="6145" max="6145" width="3.75" style="24" customWidth="1"/>
    <col min="6146" max="6146" width="13.375" style="24" customWidth="1"/>
    <col min="6147" max="6158" width="9" style="24" customWidth="1"/>
    <col min="6159" max="6400" width="9" style="24"/>
    <col min="6401" max="6401" width="3.75" style="24" customWidth="1"/>
    <col min="6402" max="6402" width="13.375" style="24" customWidth="1"/>
    <col min="6403" max="6414" width="9" style="24" customWidth="1"/>
    <col min="6415" max="6656" width="9" style="24"/>
    <col min="6657" max="6657" width="3.75" style="24" customWidth="1"/>
    <col min="6658" max="6658" width="13.375" style="24" customWidth="1"/>
    <col min="6659" max="6670" width="9" style="24" customWidth="1"/>
    <col min="6671" max="6912" width="9" style="24"/>
    <col min="6913" max="6913" width="3.75" style="24" customWidth="1"/>
    <col min="6914" max="6914" width="13.375" style="24" customWidth="1"/>
    <col min="6915" max="6926" width="9" style="24" customWidth="1"/>
    <col min="6927" max="7168" width="9" style="24"/>
    <col min="7169" max="7169" width="3.75" style="24" customWidth="1"/>
    <col min="7170" max="7170" width="13.375" style="24" customWidth="1"/>
    <col min="7171" max="7182" width="9" style="24" customWidth="1"/>
    <col min="7183" max="7424" width="9" style="24"/>
    <col min="7425" max="7425" width="3.75" style="24" customWidth="1"/>
    <col min="7426" max="7426" width="13.375" style="24" customWidth="1"/>
    <col min="7427" max="7438" width="9" style="24" customWidth="1"/>
    <col min="7439" max="7680" width="9" style="24"/>
    <col min="7681" max="7681" width="3.75" style="24" customWidth="1"/>
    <col min="7682" max="7682" width="13.375" style="24" customWidth="1"/>
    <col min="7683" max="7694" width="9" style="24" customWidth="1"/>
    <col min="7695" max="7936" width="9" style="24"/>
    <col min="7937" max="7937" width="3.75" style="24" customWidth="1"/>
    <col min="7938" max="7938" width="13.375" style="24" customWidth="1"/>
    <col min="7939" max="7950" width="9" style="24" customWidth="1"/>
    <col min="7951" max="8192" width="9" style="24"/>
    <col min="8193" max="8193" width="3.75" style="24" customWidth="1"/>
    <col min="8194" max="8194" width="13.375" style="24" customWidth="1"/>
    <col min="8195" max="8206" width="9" style="24" customWidth="1"/>
    <col min="8207" max="8448" width="9" style="24"/>
    <col min="8449" max="8449" width="3.75" style="24" customWidth="1"/>
    <col min="8450" max="8450" width="13.375" style="24" customWidth="1"/>
    <col min="8451" max="8462" width="9" style="24" customWidth="1"/>
    <col min="8463" max="8704" width="9" style="24"/>
    <col min="8705" max="8705" width="3.75" style="24" customWidth="1"/>
    <col min="8706" max="8706" width="13.375" style="24" customWidth="1"/>
    <col min="8707" max="8718" width="9" style="24" customWidth="1"/>
    <col min="8719" max="8960" width="9" style="24"/>
    <col min="8961" max="8961" width="3.75" style="24" customWidth="1"/>
    <col min="8962" max="8962" width="13.375" style="24" customWidth="1"/>
    <col min="8963" max="8974" width="9" style="24" customWidth="1"/>
    <col min="8975" max="9216" width="9" style="24"/>
    <col min="9217" max="9217" width="3.75" style="24" customWidth="1"/>
    <col min="9218" max="9218" width="13.375" style="24" customWidth="1"/>
    <col min="9219" max="9230" width="9" style="24" customWidth="1"/>
    <col min="9231" max="9472" width="9" style="24"/>
    <col min="9473" max="9473" width="3.75" style="24" customWidth="1"/>
    <col min="9474" max="9474" width="13.375" style="24" customWidth="1"/>
    <col min="9475" max="9486" width="9" style="24" customWidth="1"/>
    <col min="9487" max="9728" width="9" style="24"/>
    <col min="9729" max="9729" width="3.75" style="24" customWidth="1"/>
    <col min="9730" max="9730" width="13.375" style="24" customWidth="1"/>
    <col min="9731" max="9742" width="9" style="24" customWidth="1"/>
    <col min="9743" max="9984" width="9" style="24"/>
    <col min="9985" max="9985" width="3.75" style="24" customWidth="1"/>
    <col min="9986" max="9986" width="13.375" style="24" customWidth="1"/>
    <col min="9987" max="9998" width="9" style="24" customWidth="1"/>
    <col min="9999" max="10240" width="9" style="24"/>
    <col min="10241" max="10241" width="3.75" style="24" customWidth="1"/>
    <col min="10242" max="10242" width="13.375" style="24" customWidth="1"/>
    <col min="10243" max="10254" width="9" style="24" customWidth="1"/>
    <col min="10255" max="10496" width="9" style="24"/>
    <col min="10497" max="10497" width="3.75" style="24" customWidth="1"/>
    <col min="10498" max="10498" width="13.375" style="24" customWidth="1"/>
    <col min="10499" max="10510" width="9" style="24" customWidth="1"/>
    <col min="10511" max="10752" width="9" style="24"/>
    <col min="10753" max="10753" width="3.75" style="24" customWidth="1"/>
    <col min="10754" max="10754" width="13.375" style="24" customWidth="1"/>
    <col min="10755" max="10766" width="9" style="24" customWidth="1"/>
    <col min="10767" max="11008" width="9" style="24"/>
    <col min="11009" max="11009" width="3.75" style="24" customWidth="1"/>
    <col min="11010" max="11010" width="13.375" style="24" customWidth="1"/>
    <col min="11011" max="11022" width="9" style="24" customWidth="1"/>
    <col min="11023" max="11264" width="9" style="24"/>
    <col min="11265" max="11265" width="3.75" style="24" customWidth="1"/>
    <col min="11266" max="11266" width="13.375" style="24" customWidth="1"/>
    <col min="11267" max="11278" width="9" style="24" customWidth="1"/>
    <col min="11279" max="11520" width="9" style="24"/>
    <col min="11521" max="11521" width="3.75" style="24" customWidth="1"/>
    <col min="11522" max="11522" width="13.375" style="24" customWidth="1"/>
    <col min="11523" max="11534" width="9" style="24" customWidth="1"/>
    <col min="11535" max="11776" width="9" style="24"/>
    <col min="11777" max="11777" width="3.75" style="24" customWidth="1"/>
    <col min="11778" max="11778" width="13.375" style="24" customWidth="1"/>
    <col min="11779" max="11790" width="9" style="24" customWidth="1"/>
    <col min="11791" max="12032" width="9" style="24"/>
    <col min="12033" max="12033" width="3.75" style="24" customWidth="1"/>
    <col min="12034" max="12034" width="13.375" style="24" customWidth="1"/>
    <col min="12035" max="12046" width="9" style="24" customWidth="1"/>
    <col min="12047" max="12288" width="9" style="24"/>
    <col min="12289" max="12289" width="3.75" style="24" customWidth="1"/>
    <col min="12290" max="12290" width="13.375" style="24" customWidth="1"/>
    <col min="12291" max="12302" width="9" style="24" customWidth="1"/>
    <col min="12303" max="12544" width="9" style="24"/>
    <col min="12545" max="12545" width="3.75" style="24" customWidth="1"/>
    <col min="12546" max="12546" width="13.375" style="24" customWidth="1"/>
    <col min="12547" max="12558" width="9" style="24" customWidth="1"/>
    <col min="12559" max="12800" width="9" style="24"/>
    <col min="12801" max="12801" width="3.75" style="24" customWidth="1"/>
    <col min="12802" max="12802" width="13.375" style="24" customWidth="1"/>
    <col min="12803" max="12814" width="9" style="24" customWidth="1"/>
    <col min="12815" max="13056" width="9" style="24"/>
    <col min="13057" max="13057" width="3.75" style="24" customWidth="1"/>
    <col min="13058" max="13058" width="13.375" style="24" customWidth="1"/>
    <col min="13059" max="13070" width="9" style="24" customWidth="1"/>
    <col min="13071" max="13312" width="9" style="24"/>
    <col min="13313" max="13313" width="3.75" style="24" customWidth="1"/>
    <col min="13314" max="13314" width="13.375" style="24" customWidth="1"/>
    <col min="13315" max="13326" width="9" style="24" customWidth="1"/>
    <col min="13327" max="13568" width="9" style="24"/>
    <col min="13569" max="13569" width="3.75" style="24" customWidth="1"/>
    <col min="13570" max="13570" width="13.375" style="24" customWidth="1"/>
    <col min="13571" max="13582" width="9" style="24" customWidth="1"/>
    <col min="13583" max="13824" width="9" style="24"/>
    <col min="13825" max="13825" width="3.75" style="24" customWidth="1"/>
    <col min="13826" max="13826" width="13.375" style="24" customWidth="1"/>
    <col min="13827" max="13838" width="9" style="24" customWidth="1"/>
    <col min="13839" max="14080" width="9" style="24"/>
    <col min="14081" max="14081" width="3.75" style="24" customWidth="1"/>
    <col min="14082" max="14082" width="13.375" style="24" customWidth="1"/>
    <col min="14083" max="14094" width="9" style="24" customWidth="1"/>
    <col min="14095" max="14336" width="9" style="24"/>
    <col min="14337" max="14337" width="3.75" style="24" customWidth="1"/>
    <col min="14338" max="14338" width="13.375" style="24" customWidth="1"/>
    <col min="14339" max="14350" width="9" style="24" customWidth="1"/>
    <col min="14351" max="14592" width="9" style="24"/>
    <col min="14593" max="14593" width="3.75" style="24" customWidth="1"/>
    <col min="14594" max="14594" width="13.375" style="24" customWidth="1"/>
    <col min="14595" max="14606" width="9" style="24" customWidth="1"/>
    <col min="14607" max="14848" width="9" style="24"/>
    <col min="14849" max="14849" width="3.75" style="24" customWidth="1"/>
    <col min="14850" max="14850" width="13.375" style="24" customWidth="1"/>
    <col min="14851" max="14862" width="9" style="24" customWidth="1"/>
    <col min="14863" max="15104" width="9" style="24"/>
    <col min="15105" max="15105" width="3.75" style="24" customWidth="1"/>
    <col min="15106" max="15106" width="13.375" style="24" customWidth="1"/>
    <col min="15107" max="15118" width="9" style="24" customWidth="1"/>
    <col min="15119" max="15360" width="9" style="24"/>
    <col min="15361" max="15361" width="3.75" style="24" customWidth="1"/>
    <col min="15362" max="15362" width="13.375" style="24" customWidth="1"/>
    <col min="15363" max="15374" width="9" style="24" customWidth="1"/>
    <col min="15375" max="15616" width="9" style="24"/>
    <col min="15617" max="15617" width="3.75" style="24" customWidth="1"/>
    <col min="15618" max="15618" width="13.375" style="24" customWidth="1"/>
    <col min="15619" max="15630" width="9" style="24" customWidth="1"/>
    <col min="15631" max="15872" width="9" style="24"/>
    <col min="15873" max="15873" width="3.75" style="24" customWidth="1"/>
    <col min="15874" max="15874" width="13.375" style="24" customWidth="1"/>
    <col min="15875" max="15886" width="9" style="24" customWidth="1"/>
    <col min="15887" max="16128" width="9" style="24"/>
    <col min="16129" max="16129" width="3.75" style="24" customWidth="1"/>
    <col min="16130" max="16130" width="13.375" style="24" customWidth="1"/>
    <col min="16131" max="16142" width="9" style="24" customWidth="1"/>
    <col min="16143" max="16384" width="9" style="24"/>
  </cols>
  <sheetData>
    <row r="1" spans="1:14" ht="28.5" x14ac:dyDescent="0.75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6.5" thickBot="1" x14ac:dyDescent="0.45">
      <c r="A2" s="150" t="s">
        <v>107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 customHeight="1" x14ac:dyDescent="0.2">
      <c r="A3" s="151" t="s">
        <v>15</v>
      </c>
      <c r="B3" s="151" t="s">
        <v>94</v>
      </c>
      <c r="C3" s="151" t="s">
        <v>108</v>
      </c>
      <c r="D3" s="151"/>
      <c r="E3" s="151"/>
      <c r="F3" s="151"/>
      <c r="G3" s="151" t="s">
        <v>109</v>
      </c>
      <c r="H3" s="151"/>
      <c r="I3" s="151"/>
      <c r="J3" s="151"/>
      <c r="K3" s="151" t="s">
        <v>110</v>
      </c>
      <c r="L3" s="151"/>
      <c r="M3" s="151"/>
      <c r="N3" s="151"/>
    </row>
    <row r="4" spans="1:14" ht="15.75" x14ac:dyDescent="0.2">
      <c r="A4" s="147"/>
      <c r="B4" s="147"/>
      <c r="C4" s="147" t="s">
        <v>111</v>
      </c>
      <c r="D4" s="147"/>
      <c r="E4" s="147" t="s">
        <v>112</v>
      </c>
      <c r="F4" s="147"/>
      <c r="G4" s="147" t="s">
        <v>111</v>
      </c>
      <c r="H4" s="147"/>
      <c r="I4" s="147" t="s">
        <v>112</v>
      </c>
      <c r="J4" s="147"/>
      <c r="K4" s="147" t="s">
        <v>111</v>
      </c>
      <c r="L4" s="147"/>
      <c r="M4" s="147" t="s">
        <v>112</v>
      </c>
      <c r="N4" s="147"/>
    </row>
    <row r="5" spans="1:14" ht="16.5" thickBot="1" x14ac:dyDescent="0.25">
      <c r="A5" s="152"/>
      <c r="B5" s="152"/>
      <c r="C5" s="25" t="s">
        <v>113</v>
      </c>
      <c r="D5" s="25" t="s">
        <v>114</v>
      </c>
      <c r="E5" s="25" t="s">
        <v>113</v>
      </c>
      <c r="F5" s="25" t="s">
        <v>114</v>
      </c>
      <c r="G5" s="25" t="s">
        <v>113</v>
      </c>
      <c r="H5" s="25" t="s">
        <v>114</v>
      </c>
      <c r="I5" s="25" t="s">
        <v>113</v>
      </c>
      <c r="J5" s="25" t="s">
        <v>114</v>
      </c>
      <c r="K5" s="25" t="s">
        <v>113</v>
      </c>
      <c r="L5" s="25" t="s">
        <v>114</v>
      </c>
      <c r="M5" s="25" t="s">
        <v>113</v>
      </c>
      <c r="N5" s="25" t="s">
        <v>114</v>
      </c>
    </row>
    <row r="6" spans="1:14" ht="17.100000000000001" customHeight="1" x14ac:dyDescent="0.2">
      <c r="A6" s="26">
        <v>1</v>
      </c>
      <c r="B6" s="27" t="s">
        <v>27</v>
      </c>
      <c r="C6" s="28">
        <v>1</v>
      </c>
      <c r="D6" s="28">
        <v>300</v>
      </c>
      <c r="E6" s="28">
        <v>2</v>
      </c>
      <c r="F6" s="28">
        <v>600</v>
      </c>
      <c r="G6" s="28">
        <v>17</v>
      </c>
      <c r="H6" s="28">
        <v>480</v>
      </c>
      <c r="I6" s="28">
        <v>85</v>
      </c>
      <c r="J6" s="28">
        <v>2044</v>
      </c>
      <c r="K6" s="28">
        <f t="shared" ref="K6:N32" si="0">SUM(C6+G6)</f>
        <v>18</v>
      </c>
      <c r="L6" s="28">
        <f t="shared" si="0"/>
        <v>780</v>
      </c>
      <c r="M6" s="28">
        <f t="shared" si="0"/>
        <v>87</v>
      </c>
      <c r="N6" s="28">
        <f t="shared" si="0"/>
        <v>2644</v>
      </c>
    </row>
    <row r="7" spans="1:14" ht="17.100000000000001" customHeight="1" x14ac:dyDescent="0.2">
      <c r="A7" s="29">
        <v>2</v>
      </c>
      <c r="B7" s="30" t="s">
        <v>65</v>
      </c>
      <c r="C7" s="28">
        <v>1</v>
      </c>
      <c r="D7" s="28">
        <v>60</v>
      </c>
      <c r="E7" s="28">
        <v>0</v>
      </c>
      <c r="F7" s="28">
        <v>0</v>
      </c>
      <c r="G7" s="28">
        <v>3</v>
      </c>
      <c r="H7" s="28">
        <v>70</v>
      </c>
      <c r="I7" s="28">
        <v>2</v>
      </c>
      <c r="J7" s="28">
        <v>0</v>
      </c>
      <c r="K7" s="28">
        <f t="shared" si="0"/>
        <v>4</v>
      </c>
      <c r="L7" s="28">
        <f t="shared" si="0"/>
        <v>130</v>
      </c>
      <c r="M7" s="28">
        <f t="shared" si="0"/>
        <v>2</v>
      </c>
      <c r="N7" s="28">
        <f t="shared" si="0"/>
        <v>0</v>
      </c>
    </row>
    <row r="8" spans="1:14" ht="17.100000000000001" customHeight="1" x14ac:dyDescent="0.2">
      <c r="A8" s="29">
        <v>3</v>
      </c>
      <c r="B8" s="30" t="s">
        <v>66</v>
      </c>
      <c r="C8" s="28">
        <v>30</v>
      </c>
      <c r="D8" s="28">
        <v>6050</v>
      </c>
      <c r="E8" s="28">
        <v>4</v>
      </c>
      <c r="F8" s="28">
        <v>700</v>
      </c>
      <c r="G8" s="28">
        <v>104</v>
      </c>
      <c r="H8" s="28">
        <v>2160</v>
      </c>
      <c r="I8" s="28">
        <v>40</v>
      </c>
      <c r="J8" s="28">
        <v>600</v>
      </c>
      <c r="K8" s="28">
        <f t="shared" si="0"/>
        <v>134</v>
      </c>
      <c r="L8" s="28">
        <f t="shared" si="0"/>
        <v>8210</v>
      </c>
      <c r="M8" s="28">
        <f t="shared" si="0"/>
        <v>44</v>
      </c>
      <c r="N8" s="28">
        <f t="shared" si="0"/>
        <v>1300</v>
      </c>
    </row>
    <row r="9" spans="1:14" ht="17.100000000000001" customHeight="1" x14ac:dyDescent="0.2">
      <c r="A9" s="29">
        <v>4</v>
      </c>
      <c r="B9" s="30" t="s">
        <v>30</v>
      </c>
      <c r="C9" s="28">
        <v>1</v>
      </c>
      <c r="D9" s="28">
        <v>100</v>
      </c>
      <c r="E9" s="28">
        <v>0</v>
      </c>
      <c r="F9" s="28">
        <v>0</v>
      </c>
      <c r="G9" s="28">
        <v>40</v>
      </c>
      <c r="H9" s="28">
        <v>1200</v>
      </c>
      <c r="I9" s="28">
        <v>20</v>
      </c>
      <c r="J9" s="28">
        <v>600</v>
      </c>
      <c r="K9" s="28">
        <f t="shared" si="0"/>
        <v>41</v>
      </c>
      <c r="L9" s="28">
        <f t="shared" si="0"/>
        <v>1300</v>
      </c>
      <c r="M9" s="28">
        <f t="shared" si="0"/>
        <v>20</v>
      </c>
      <c r="N9" s="28">
        <f t="shared" si="0"/>
        <v>600</v>
      </c>
    </row>
    <row r="10" spans="1:14" ht="17.100000000000001" customHeight="1" x14ac:dyDescent="0.2">
      <c r="A10" s="29">
        <v>5</v>
      </c>
      <c r="B10" s="30" t="s">
        <v>67</v>
      </c>
      <c r="C10" s="28">
        <v>5</v>
      </c>
      <c r="D10" s="28">
        <v>700</v>
      </c>
      <c r="E10" s="28">
        <v>3</v>
      </c>
      <c r="F10" s="28">
        <v>400</v>
      </c>
      <c r="G10" s="28">
        <v>60</v>
      </c>
      <c r="H10" s="28">
        <v>2150</v>
      </c>
      <c r="I10" s="28">
        <v>36</v>
      </c>
      <c r="J10" s="28">
        <v>1260</v>
      </c>
      <c r="K10" s="28">
        <f t="shared" si="0"/>
        <v>65</v>
      </c>
      <c r="L10" s="28">
        <f t="shared" si="0"/>
        <v>2850</v>
      </c>
      <c r="M10" s="28">
        <f t="shared" si="0"/>
        <v>39</v>
      </c>
      <c r="N10" s="28">
        <f t="shared" si="0"/>
        <v>1660</v>
      </c>
    </row>
    <row r="11" spans="1:14" ht="17.100000000000001" customHeight="1" x14ac:dyDescent="0.2">
      <c r="A11" s="29">
        <v>6</v>
      </c>
      <c r="B11" s="30" t="s">
        <v>32</v>
      </c>
      <c r="C11" s="28">
        <v>0</v>
      </c>
      <c r="D11" s="28">
        <v>0</v>
      </c>
      <c r="E11" s="28">
        <v>6</v>
      </c>
      <c r="F11" s="28">
        <v>600</v>
      </c>
      <c r="G11" s="28">
        <v>170</v>
      </c>
      <c r="H11" s="28">
        <v>5100</v>
      </c>
      <c r="I11" s="28">
        <v>98</v>
      </c>
      <c r="J11" s="28">
        <v>2940</v>
      </c>
      <c r="K11" s="28">
        <f t="shared" si="0"/>
        <v>170</v>
      </c>
      <c r="L11" s="28">
        <f t="shared" si="0"/>
        <v>5100</v>
      </c>
      <c r="M11" s="28">
        <f t="shared" si="0"/>
        <v>104</v>
      </c>
      <c r="N11" s="28">
        <f t="shared" si="0"/>
        <v>3540</v>
      </c>
    </row>
    <row r="12" spans="1:14" ht="17.100000000000001" customHeight="1" x14ac:dyDescent="0.2">
      <c r="A12" s="29">
        <v>7</v>
      </c>
      <c r="B12" s="30" t="s">
        <v>33</v>
      </c>
      <c r="C12" s="28">
        <v>27</v>
      </c>
      <c r="D12" s="28">
        <v>3000</v>
      </c>
      <c r="E12" s="28">
        <v>34</v>
      </c>
      <c r="F12" s="28">
        <v>4750</v>
      </c>
      <c r="G12" s="28">
        <v>48</v>
      </c>
      <c r="H12" s="28">
        <v>1935</v>
      </c>
      <c r="I12" s="28">
        <v>25</v>
      </c>
      <c r="J12" s="28">
        <v>985</v>
      </c>
      <c r="K12" s="28">
        <f t="shared" si="0"/>
        <v>75</v>
      </c>
      <c r="L12" s="28">
        <f t="shared" si="0"/>
        <v>4935</v>
      </c>
      <c r="M12" s="28">
        <f t="shared" si="0"/>
        <v>59</v>
      </c>
      <c r="N12" s="28">
        <f t="shared" si="0"/>
        <v>5735</v>
      </c>
    </row>
    <row r="13" spans="1:14" ht="17.100000000000001" customHeight="1" x14ac:dyDescent="0.2">
      <c r="A13" s="29">
        <v>8</v>
      </c>
      <c r="B13" s="30" t="s">
        <v>68</v>
      </c>
      <c r="C13" s="28">
        <v>39</v>
      </c>
      <c r="D13" s="28">
        <v>5300</v>
      </c>
      <c r="E13" s="28">
        <v>13</v>
      </c>
      <c r="F13" s="28">
        <v>1500</v>
      </c>
      <c r="G13" s="28">
        <v>350</v>
      </c>
      <c r="H13" s="28">
        <v>4100</v>
      </c>
      <c r="I13" s="28">
        <v>150</v>
      </c>
      <c r="J13" s="28">
        <v>2200</v>
      </c>
      <c r="K13" s="28">
        <f t="shared" si="0"/>
        <v>389</v>
      </c>
      <c r="L13" s="28">
        <f t="shared" si="0"/>
        <v>9400</v>
      </c>
      <c r="M13" s="28">
        <f t="shared" si="0"/>
        <v>163</v>
      </c>
      <c r="N13" s="28">
        <f t="shared" si="0"/>
        <v>3700</v>
      </c>
    </row>
    <row r="14" spans="1:14" ht="17.100000000000001" customHeight="1" x14ac:dyDescent="0.2">
      <c r="A14" s="29">
        <v>9</v>
      </c>
      <c r="B14" s="30" t="s">
        <v>69</v>
      </c>
      <c r="C14" s="28">
        <v>8</v>
      </c>
      <c r="D14" s="28">
        <v>2025</v>
      </c>
      <c r="E14" s="28">
        <v>4</v>
      </c>
      <c r="F14" s="28">
        <v>700</v>
      </c>
      <c r="G14" s="28">
        <v>51</v>
      </c>
      <c r="H14" s="28">
        <v>1988</v>
      </c>
      <c r="I14" s="28">
        <v>0</v>
      </c>
      <c r="J14" s="28">
        <v>0</v>
      </c>
      <c r="K14" s="28">
        <f t="shared" si="0"/>
        <v>59</v>
      </c>
      <c r="L14" s="28">
        <f t="shared" si="0"/>
        <v>4013</v>
      </c>
      <c r="M14" s="28">
        <f t="shared" si="0"/>
        <v>4</v>
      </c>
      <c r="N14" s="28">
        <f t="shared" si="0"/>
        <v>700</v>
      </c>
    </row>
    <row r="15" spans="1:14" ht="17.100000000000001" customHeight="1" x14ac:dyDescent="0.2">
      <c r="A15" s="29">
        <v>10</v>
      </c>
      <c r="B15" s="30" t="s">
        <v>70</v>
      </c>
      <c r="C15" s="28">
        <v>43</v>
      </c>
      <c r="D15" s="28">
        <v>4600</v>
      </c>
      <c r="E15" s="28">
        <v>15</v>
      </c>
      <c r="F15" s="28">
        <v>1700</v>
      </c>
      <c r="G15" s="28">
        <v>95</v>
      </c>
      <c r="H15" s="28">
        <v>3000</v>
      </c>
      <c r="I15" s="28">
        <v>80</v>
      </c>
      <c r="J15" s="28">
        <v>1850</v>
      </c>
      <c r="K15" s="28">
        <f t="shared" si="0"/>
        <v>138</v>
      </c>
      <c r="L15" s="28">
        <f t="shared" si="0"/>
        <v>7600</v>
      </c>
      <c r="M15" s="28">
        <f t="shared" si="0"/>
        <v>95</v>
      </c>
      <c r="N15" s="28">
        <f t="shared" si="0"/>
        <v>3550</v>
      </c>
    </row>
    <row r="16" spans="1:14" ht="17.100000000000001" customHeight="1" x14ac:dyDescent="0.2">
      <c r="A16" s="29">
        <v>11</v>
      </c>
      <c r="B16" s="30" t="s">
        <v>36</v>
      </c>
      <c r="C16" s="28">
        <v>128</v>
      </c>
      <c r="D16" s="28">
        <v>18000</v>
      </c>
      <c r="E16" s="28">
        <v>47</v>
      </c>
      <c r="F16" s="28">
        <v>5200</v>
      </c>
      <c r="G16" s="28">
        <v>525</v>
      </c>
      <c r="H16" s="28">
        <v>4725</v>
      </c>
      <c r="I16" s="28">
        <v>115</v>
      </c>
      <c r="J16" s="28">
        <v>1035</v>
      </c>
      <c r="K16" s="28">
        <f t="shared" si="0"/>
        <v>653</v>
      </c>
      <c r="L16" s="28">
        <f t="shared" si="0"/>
        <v>22725</v>
      </c>
      <c r="M16" s="28">
        <f t="shared" si="0"/>
        <v>162</v>
      </c>
      <c r="N16" s="28">
        <f t="shared" si="0"/>
        <v>6235</v>
      </c>
    </row>
    <row r="17" spans="1:14" ht="17.100000000000001" customHeight="1" x14ac:dyDescent="0.2">
      <c r="A17" s="29">
        <v>12</v>
      </c>
      <c r="B17" s="30" t="s">
        <v>38</v>
      </c>
      <c r="C17" s="28">
        <v>11</v>
      </c>
      <c r="D17" s="28">
        <v>1575</v>
      </c>
      <c r="E17" s="28">
        <v>4</v>
      </c>
      <c r="F17" s="28">
        <v>500</v>
      </c>
      <c r="G17" s="28">
        <v>28</v>
      </c>
      <c r="H17" s="28">
        <v>975</v>
      </c>
      <c r="I17" s="28">
        <v>7</v>
      </c>
      <c r="J17" s="28">
        <v>210</v>
      </c>
      <c r="K17" s="28">
        <f t="shared" si="0"/>
        <v>39</v>
      </c>
      <c r="L17" s="28">
        <f t="shared" si="0"/>
        <v>2550</v>
      </c>
      <c r="M17" s="28">
        <f t="shared" si="0"/>
        <v>11</v>
      </c>
      <c r="N17" s="28">
        <f t="shared" si="0"/>
        <v>710</v>
      </c>
    </row>
    <row r="18" spans="1:14" ht="17.100000000000001" customHeight="1" x14ac:dyDescent="0.2">
      <c r="A18" s="29">
        <v>13</v>
      </c>
      <c r="B18" s="30" t="s">
        <v>39</v>
      </c>
      <c r="C18" s="28">
        <v>12</v>
      </c>
      <c r="D18" s="28">
        <v>550</v>
      </c>
      <c r="E18" s="28">
        <v>23</v>
      </c>
      <c r="F18" s="28">
        <v>3100</v>
      </c>
      <c r="G18" s="28">
        <v>110</v>
      </c>
      <c r="H18" s="28">
        <v>2300</v>
      </c>
      <c r="I18" s="28">
        <v>40</v>
      </c>
      <c r="J18" s="28">
        <v>250</v>
      </c>
      <c r="K18" s="28">
        <f t="shared" si="0"/>
        <v>122</v>
      </c>
      <c r="L18" s="28">
        <f t="shared" si="0"/>
        <v>2850</v>
      </c>
      <c r="M18" s="28">
        <f t="shared" si="0"/>
        <v>63</v>
      </c>
      <c r="N18" s="28">
        <f t="shared" si="0"/>
        <v>3350</v>
      </c>
    </row>
    <row r="19" spans="1:14" ht="17.100000000000001" customHeight="1" x14ac:dyDescent="0.2">
      <c r="A19" s="29">
        <v>14</v>
      </c>
      <c r="B19" s="30" t="s">
        <v>40</v>
      </c>
      <c r="C19" s="28">
        <v>7</v>
      </c>
      <c r="D19" s="28">
        <v>1450</v>
      </c>
      <c r="E19" s="28">
        <v>4</v>
      </c>
      <c r="F19" s="28">
        <v>500</v>
      </c>
      <c r="G19" s="28">
        <v>80</v>
      </c>
      <c r="H19" s="28">
        <v>3000</v>
      </c>
      <c r="I19" s="28">
        <v>0</v>
      </c>
      <c r="J19" s="28">
        <v>0</v>
      </c>
      <c r="K19" s="28">
        <f t="shared" si="0"/>
        <v>87</v>
      </c>
      <c r="L19" s="28">
        <f t="shared" si="0"/>
        <v>4450</v>
      </c>
      <c r="M19" s="28">
        <f t="shared" si="0"/>
        <v>4</v>
      </c>
      <c r="N19" s="28">
        <f t="shared" si="0"/>
        <v>500</v>
      </c>
    </row>
    <row r="20" spans="1:14" ht="17.100000000000001" customHeight="1" x14ac:dyDescent="0.2">
      <c r="A20" s="29">
        <v>15</v>
      </c>
      <c r="B20" s="30" t="s">
        <v>41</v>
      </c>
      <c r="C20" s="28">
        <v>20</v>
      </c>
      <c r="D20" s="28">
        <v>2000</v>
      </c>
      <c r="E20" s="28">
        <v>30</v>
      </c>
      <c r="F20" s="28">
        <v>3000</v>
      </c>
      <c r="G20" s="28">
        <v>200</v>
      </c>
      <c r="H20" s="28">
        <v>7000</v>
      </c>
      <c r="I20" s="28">
        <v>40</v>
      </c>
      <c r="J20" s="28">
        <v>1800</v>
      </c>
      <c r="K20" s="28">
        <f t="shared" si="0"/>
        <v>220</v>
      </c>
      <c r="L20" s="28">
        <f t="shared" si="0"/>
        <v>9000</v>
      </c>
      <c r="M20" s="28">
        <f t="shared" si="0"/>
        <v>70</v>
      </c>
      <c r="N20" s="28">
        <f t="shared" si="0"/>
        <v>4800</v>
      </c>
    </row>
    <row r="21" spans="1:14" ht="17.100000000000001" customHeight="1" x14ac:dyDescent="0.2">
      <c r="A21" s="29">
        <v>16</v>
      </c>
      <c r="B21" s="30" t="s">
        <v>71</v>
      </c>
      <c r="C21" s="28">
        <v>2</v>
      </c>
      <c r="D21" s="28">
        <v>200</v>
      </c>
      <c r="E21" s="28">
        <v>0</v>
      </c>
      <c r="F21" s="28">
        <v>0</v>
      </c>
      <c r="G21" s="28">
        <v>80</v>
      </c>
      <c r="H21" s="28">
        <v>1800</v>
      </c>
      <c r="I21" s="28">
        <v>60</v>
      </c>
      <c r="J21" s="28">
        <v>900</v>
      </c>
      <c r="K21" s="28">
        <f t="shared" si="0"/>
        <v>82</v>
      </c>
      <c r="L21" s="28">
        <f t="shared" si="0"/>
        <v>2000</v>
      </c>
      <c r="M21" s="28">
        <f t="shared" si="0"/>
        <v>60</v>
      </c>
      <c r="N21" s="28">
        <f t="shared" si="0"/>
        <v>900</v>
      </c>
    </row>
    <row r="22" spans="1:14" ht="17.100000000000001" customHeight="1" x14ac:dyDescent="0.2">
      <c r="A22" s="29">
        <v>17</v>
      </c>
      <c r="B22" s="30" t="s">
        <v>43</v>
      </c>
      <c r="C22" s="28">
        <v>42</v>
      </c>
      <c r="D22" s="28">
        <v>5650</v>
      </c>
      <c r="E22" s="28">
        <v>45</v>
      </c>
      <c r="F22" s="28">
        <v>6035</v>
      </c>
      <c r="G22" s="28">
        <v>30</v>
      </c>
      <c r="H22" s="28">
        <v>450</v>
      </c>
      <c r="I22" s="28">
        <v>48</v>
      </c>
      <c r="J22" s="28">
        <v>960</v>
      </c>
      <c r="K22" s="28">
        <f t="shared" si="0"/>
        <v>72</v>
      </c>
      <c r="L22" s="28">
        <f t="shared" si="0"/>
        <v>6100</v>
      </c>
      <c r="M22" s="28">
        <f t="shared" si="0"/>
        <v>93</v>
      </c>
      <c r="N22" s="28">
        <f t="shared" si="0"/>
        <v>6995</v>
      </c>
    </row>
    <row r="23" spans="1:14" ht="17.100000000000001" customHeight="1" x14ac:dyDescent="0.2">
      <c r="A23" s="29">
        <v>18</v>
      </c>
      <c r="B23" s="30" t="s">
        <v>44</v>
      </c>
      <c r="C23" s="28">
        <v>2</v>
      </c>
      <c r="D23" s="28">
        <v>400</v>
      </c>
      <c r="E23" s="28">
        <v>0</v>
      </c>
      <c r="F23" s="28">
        <v>0</v>
      </c>
      <c r="G23" s="28">
        <v>20</v>
      </c>
      <c r="H23" s="28">
        <v>400</v>
      </c>
      <c r="I23" s="28">
        <v>10</v>
      </c>
      <c r="J23" s="28">
        <v>200</v>
      </c>
      <c r="K23" s="28">
        <f t="shared" si="0"/>
        <v>22</v>
      </c>
      <c r="L23" s="28">
        <f t="shared" si="0"/>
        <v>800</v>
      </c>
      <c r="M23" s="28">
        <f t="shared" si="0"/>
        <v>10</v>
      </c>
      <c r="N23" s="28">
        <f t="shared" si="0"/>
        <v>200</v>
      </c>
    </row>
    <row r="24" spans="1:14" ht="17.100000000000001" customHeight="1" x14ac:dyDescent="0.2">
      <c r="A24" s="29">
        <v>19</v>
      </c>
      <c r="B24" s="30" t="s">
        <v>45</v>
      </c>
      <c r="C24" s="28">
        <v>1</v>
      </c>
      <c r="D24" s="28">
        <v>200</v>
      </c>
      <c r="E24" s="28">
        <v>1</v>
      </c>
      <c r="F24" s="28">
        <v>400</v>
      </c>
      <c r="G24" s="28">
        <v>40</v>
      </c>
      <c r="H24" s="28">
        <v>2000</v>
      </c>
      <c r="I24" s="28">
        <v>25</v>
      </c>
      <c r="J24" s="28">
        <v>1000</v>
      </c>
      <c r="K24" s="28">
        <f t="shared" si="0"/>
        <v>41</v>
      </c>
      <c r="L24" s="28">
        <f t="shared" si="0"/>
        <v>2200</v>
      </c>
      <c r="M24" s="28">
        <f t="shared" si="0"/>
        <v>26</v>
      </c>
      <c r="N24" s="28">
        <f t="shared" si="0"/>
        <v>1400</v>
      </c>
    </row>
    <row r="25" spans="1:14" ht="17.100000000000001" customHeight="1" x14ac:dyDescent="0.2">
      <c r="A25" s="29">
        <v>20</v>
      </c>
      <c r="B25" s="30" t="s">
        <v>46</v>
      </c>
      <c r="C25" s="28">
        <v>10</v>
      </c>
      <c r="D25" s="28">
        <v>1600</v>
      </c>
      <c r="E25" s="28">
        <v>12</v>
      </c>
      <c r="F25" s="28">
        <v>1380</v>
      </c>
      <c r="G25" s="28">
        <v>33</v>
      </c>
      <c r="H25" s="28">
        <v>1200</v>
      </c>
      <c r="I25" s="28">
        <v>127</v>
      </c>
      <c r="J25" s="28">
        <v>5200</v>
      </c>
      <c r="K25" s="28">
        <f t="shared" si="0"/>
        <v>43</v>
      </c>
      <c r="L25" s="28">
        <f t="shared" si="0"/>
        <v>2800</v>
      </c>
      <c r="M25" s="28">
        <f t="shared" si="0"/>
        <v>139</v>
      </c>
      <c r="N25" s="28">
        <f t="shared" si="0"/>
        <v>6580</v>
      </c>
    </row>
    <row r="26" spans="1:14" ht="17.100000000000001" customHeight="1" x14ac:dyDescent="0.2">
      <c r="A26" s="29">
        <v>21</v>
      </c>
      <c r="B26" s="30" t="s">
        <v>47</v>
      </c>
      <c r="C26" s="28">
        <v>3</v>
      </c>
      <c r="D26" s="28">
        <v>200</v>
      </c>
      <c r="E26" s="28">
        <v>13</v>
      </c>
      <c r="F26" s="28">
        <v>2600</v>
      </c>
      <c r="G26" s="28">
        <v>390</v>
      </c>
      <c r="H26" s="28">
        <v>4382</v>
      </c>
      <c r="I26" s="28">
        <v>30</v>
      </c>
      <c r="J26" s="31">
        <v>1500</v>
      </c>
      <c r="K26" s="28">
        <f t="shared" si="0"/>
        <v>393</v>
      </c>
      <c r="L26" s="28">
        <f t="shared" si="0"/>
        <v>4582</v>
      </c>
      <c r="M26" s="28">
        <f t="shared" si="0"/>
        <v>43</v>
      </c>
      <c r="N26" s="28">
        <f t="shared" si="0"/>
        <v>4100</v>
      </c>
    </row>
    <row r="27" spans="1:14" ht="17.100000000000001" customHeight="1" x14ac:dyDescent="0.2">
      <c r="A27" s="29">
        <v>22</v>
      </c>
      <c r="B27" s="30" t="s">
        <v>48</v>
      </c>
      <c r="C27" s="32">
        <v>2</v>
      </c>
      <c r="D27" s="32">
        <v>600</v>
      </c>
      <c r="E27" s="32">
        <v>0</v>
      </c>
      <c r="F27" s="32">
        <v>0</v>
      </c>
      <c r="G27" s="32">
        <v>200</v>
      </c>
      <c r="H27" s="32">
        <v>400</v>
      </c>
      <c r="I27" s="32">
        <v>100</v>
      </c>
      <c r="J27" s="32">
        <v>1000</v>
      </c>
      <c r="K27" s="32">
        <f t="shared" si="0"/>
        <v>202</v>
      </c>
      <c r="L27" s="32">
        <f t="shared" si="0"/>
        <v>1000</v>
      </c>
      <c r="M27" s="32">
        <f t="shared" si="0"/>
        <v>100</v>
      </c>
      <c r="N27" s="32">
        <f t="shared" si="0"/>
        <v>1000</v>
      </c>
    </row>
    <row r="28" spans="1:14" ht="17.100000000000001" customHeight="1" x14ac:dyDescent="0.2">
      <c r="A28" s="29">
        <v>23</v>
      </c>
      <c r="B28" s="30" t="s">
        <v>72</v>
      </c>
      <c r="C28" s="28">
        <v>1</v>
      </c>
      <c r="D28" s="28">
        <v>160</v>
      </c>
      <c r="E28" s="28">
        <v>0</v>
      </c>
      <c r="F28" s="28">
        <v>0</v>
      </c>
      <c r="G28" s="28">
        <v>42</v>
      </c>
      <c r="H28" s="28">
        <v>1050</v>
      </c>
      <c r="I28" s="28">
        <v>5</v>
      </c>
      <c r="J28" s="28">
        <v>150</v>
      </c>
      <c r="K28" s="28">
        <f t="shared" si="0"/>
        <v>43</v>
      </c>
      <c r="L28" s="28">
        <f t="shared" si="0"/>
        <v>1210</v>
      </c>
      <c r="M28" s="28">
        <f t="shared" si="0"/>
        <v>5</v>
      </c>
      <c r="N28" s="28">
        <f t="shared" si="0"/>
        <v>150</v>
      </c>
    </row>
    <row r="29" spans="1:14" ht="17.100000000000001" customHeight="1" x14ac:dyDescent="0.2">
      <c r="A29" s="29">
        <v>24</v>
      </c>
      <c r="B29" s="30" t="s">
        <v>73</v>
      </c>
      <c r="C29" s="28">
        <v>52</v>
      </c>
      <c r="D29" s="28">
        <v>2565</v>
      </c>
      <c r="E29" s="28">
        <v>8</v>
      </c>
      <c r="F29" s="28">
        <v>540</v>
      </c>
      <c r="G29" s="28">
        <v>21</v>
      </c>
      <c r="H29" s="28">
        <v>270</v>
      </c>
      <c r="I29" s="28">
        <v>7</v>
      </c>
      <c r="J29" s="28">
        <v>141</v>
      </c>
      <c r="K29" s="28">
        <f t="shared" si="0"/>
        <v>73</v>
      </c>
      <c r="L29" s="28">
        <f t="shared" si="0"/>
        <v>2835</v>
      </c>
      <c r="M29" s="28">
        <f t="shared" si="0"/>
        <v>15</v>
      </c>
      <c r="N29" s="28">
        <f t="shared" si="0"/>
        <v>681</v>
      </c>
    </row>
    <row r="30" spans="1:14" ht="17.100000000000001" customHeight="1" x14ac:dyDescent="0.2">
      <c r="A30" s="29">
        <v>25</v>
      </c>
      <c r="B30" s="30" t="s">
        <v>74</v>
      </c>
      <c r="C30" s="28">
        <v>3</v>
      </c>
      <c r="D30" s="28">
        <v>300</v>
      </c>
      <c r="E30" s="28">
        <v>0</v>
      </c>
      <c r="F30" s="28">
        <v>0</v>
      </c>
      <c r="G30" s="28">
        <v>165</v>
      </c>
      <c r="H30" s="28">
        <v>825</v>
      </c>
      <c r="I30" s="28">
        <v>0</v>
      </c>
      <c r="J30" s="28">
        <v>0</v>
      </c>
      <c r="K30" s="28">
        <f t="shared" si="0"/>
        <v>168</v>
      </c>
      <c r="L30" s="28">
        <f t="shared" si="0"/>
        <v>1125</v>
      </c>
      <c r="M30" s="28">
        <f t="shared" si="0"/>
        <v>0</v>
      </c>
      <c r="N30" s="28">
        <f t="shared" si="0"/>
        <v>0</v>
      </c>
    </row>
    <row r="31" spans="1:14" ht="16.5" customHeight="1" x14ac:dyDescent="0.2">
      <c r="A31" s="29">
        <v>26</v>
      </c>
      <c r="B31" s="30" t="s">
        <v>75</v>
      </c>
      <c r="C31" s="28">
        <v>5</v>
      </c>
      <c r="D31" s="28">
        <v>600</v>
      </c>
      <c r="E31" s="28">
        <v>0</v>
      </c>
      <c r="F31" s="28">
        <v>0</v>
      </c>
      <c r="G31" s="28">
        <v>127</v>
      </c>
      <c r="H31" s="28">
        <v>1905</v>
      </c>
      <c r="I31" s="28">
        <v>44</v>
      </c>
      <c r="J31" s="28">
        <v>660</v>
      </c>
      <c r="K31" s="28">
        <f t="shared" si="0"/>
        <v>132</v>
      </c>
      <c r="L31" s="28">
        <f t="shared" si="0"/>
        <v>2505</v>
      </c>
      <c r="M31" s="28">
        <f t="shared" si="0"/>
        <v>44</v>
      </c>
      <c r="N31" s="28">
        <f t="shared" si="0"/>
        <v>660</v>
      </c>
    </row>
    <row r="32" spans="1:14" ht="17.100000000000001" customHeight="1" thickBot="1" x14ac:dyDescent="0.25">
      <c r="A32" s="29">
        <v>27</v>
      </c>
      <c r="B32" s="33" t="s">
        <v>53</v>
      </c>
      <c r="C32" s="34">
        <v>0</v>
      </c>
      <c r="D32" s="34">
        <v>0</v>
      </c>
      <c r="E32" s="34">
        <v>7</v>
      </c>
      <c r="F32" s="34">
        <v>1300</v>
      </c>
      <c r="G32" s="34">
        <v>45</v>
      </c>
      <c r="H32" s="34">
        <v>1400</v>
      </c>
      <c r="I32" s="34"/>
      <c r="J32" s="34"/>
      <c r="K32" s="28">
        <f t="shared" si="0"/>
        <v>45</v>
      </c>
      <c r="L32" s="28">
        <f t="shared" si="0"/>
        <v>1400</v>
      </c>
      <c r="M32" s="28">
        <f t="shared" si="0"/>
        <v>7</v>
      </c>
      <c r="N32" s="28">
        <f t="shared" si="0"/>
        <v>1300</v>
      </c>
    </row>
    <row r="33" spans="1:14" ht="23.25" customHeight="1" thickBot="1" x14ac:dyDescent="0.25">
      <c r="A33" s="148" t="s">
        <v>115</v>
      </c>
      <c r="B33" s="148"/>
      <c r="C33" s="35">
        <f t="shared" ref="C33:N33" si="1">SUM(C6:C32)</f>
        <v>456</v>
      </c>
      <c r="D33" s="35">
        <f t="shared" si="1"/>
        <v>58185</v>
      </c>
      <c r="E33" s="35">
        <f t="shared" si="1"/>
        <v>275</v>
      </c>
      <c r="F33" s="35">
        <f t="shared" si="1"/>
        <v>35505</v>
      </c>
      <c r="G33" s="35">
        <f t="shared" si="1"/>
        <v>3074</v>
      </c>
      <c r="H33" s="35">
        <f t="shared" si="1"/>
        <v>56265</v>
      </c>
      <c r="I33" s="35">
        <f t="shared" si="1"/>
        <v>1194</v>
      </c>
      <c r="J33" s="35">
        <f t="shared" si="1"/>
        <v>27485</v>
      </c>
      <c r="K33" s="35">
        <f t="shared" si="1"/>
        <v>3530</v>
      </c>
      <c r="L33" s="35">
        <f t="shared" si="1"/>
        <v>114450</v>
      </c>
      <c r="M33" s="35">
        <f t="shared" si="1"/>
        <v>1469</v>
      </c>
      <c r="N33" s="35">
        <f t="shared" si="1"/>
        <v>62990</v>
      </c>
    </row>
    <row r="36" spans="1:14" x14ac:dyDescent="0.2">
      <c r="B36" s="36"/>
      <c r="C36" s="36"/>
      <c r="E36" s="37"/>
    </row>
    <row r="37" spans="1:14" x14ac:dyDescent="0.2">
      <c r="B37" s="36"/>
      <c r="C37" s="36"/>
      <c r="E37" s="37"/>
    </row>
    <row r="38" spans="1:14" x14ac:dyDescent="0.2">
      <c r="B38" s="36"/>
      <c r="C38" s="36"/>
      <c r="E38" s="37"/>
    </row>
    <row r="39" spans="1:14" x14ac:dyDescent="0.2">
      <c r="B39" s="36"/>
      <c r="C39" s="36"/>
    </row>
    <row r="40" spans="1:14" x14ac:dyDescent="0.2">
      <c r="B40" s="36"/>
      <c r="C40" s="36"/>
      <c r="E40" s="37"/>
    </row>
    <row r="41" spans="1:14" x14ac:dyDescent="0.2">
      <c r="B41" s="36"/>
      <c r="C41" s="36"/>
      <c r="E41" s="37"/>
    </row>
    <row r="42" spans="1:14" x14ac:dyDescent="0.2">
      <c r="B42" s="36"/>
      <c r="C42" s="36"/>
      <c r="E42" s="37"/>
    </row>
    <row r="43" spans="1:14" x14ac:dyDescent="0.2">
      <c r="B43" s="36"/>
      <c r="C43" s="36"/>
    </row>
  </sheetData>
  <mergeCells count="14">
    <mergeCell ref="I4:J4"/>
    <mergeCell ref="K4:L4"/>
    <mergeCell ref="M4:N4"/>
    <mergeCell ref="A33:B33"/>
    <mergeCell ref="A1:N1"/>
    <mergeCell ref="A2:N2"/>
    <mergeCell ref="A3:A5"/>
    <mergeCell ref="B3:B5"/>
    <mergeCell ref="C3:F3"/>
    <mergeCell ref="G3:J3"/>
    <mergeCell ref="K3:N3"/>
    <mergeCell ref="C4:D4"/>
    <mergeCell ref="E4:F4"/>
    <mergeCell ref="G4:H4"/>
  </mergeCells>
  <pageMargins left="0.17" right="0.17" top="0.19" bottom="0.24" header="0.17" footer="0.1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rightToLeft="1" workbookViewId="0">
      <selection activeCell="H9" sqref="H9"/>
    </sheetView>
  </sheetViews>
  <sheetFormatPr defaultRowHeight="12.75" x14ac:dyDescent="0.2"/>
  <cols>
    <col min="1" max="1" width="3.25" style="24" customWidth="1"/>
    <col min="2" max="2" width="11.375" style="24" customWidth="1"/>
    <col min="3" max="5" width="8.875" style="24" customWidth="1"/>
    <col min="6" max="8" width="8.75" style="24" customWidth="1"/>
    <col min="9" max="9" width="8.875" style="24" customWidth="1"/>
    <col min="10" max="10" width="8.375" style="24" customWidth="1"/>
    <col min="11" max="11" width="9.375" style="24" customWidth="1"/>
    <col min="12" max="12" width="10.875" style="24" customWidth="1"/>
    <col min="13" max="14" width="9.375" style="24" customWidth="1"/>
    <col min="15" max="256" width="9" style="24"/>
    <col min="257" max="257" width="3.25" style="24" customWidth="1"/>
    <col min="258" max="258" width="11.375" style="24" customWidth="1"/>
    <col min="259" max="261" width="8.875" style="24" customWidth="1"/>
    <col min="262" max="264" width="8.75" style="24" customWidth="1"/>
    <col min="265" max="265" width="8.875" style="24" customWidth="1"/>
    <col min="266" max="266" width="8.375" style="24" customWidth="1"/>
    <col min="267" max="270" width="9.375" style="24" customWidth="1"/>
    <col min="271" max="512" width="9" style="24"/>
    <col min="513" max="513" width="3.25" style="24" customWidth="1"/>
    <col min="514" max="514" width="11.375" style="24" customWidth="1"/>
    <col min="515" max="517" width="8.875" style="24" customWidth="1"/>
    <col min="518" max="520" width="8.75" style="24" customWidth="1"/>
    <col min="521" max="521" width="8.875" style="24" customWidth="1"/>
    <col min="522" max="522" width="8.375" style="24" customWidth="1"/>
    <col min="523" max="526" width="9.375" style="24" customWidth="1"/>
    <col min="527" max="768" width="9" style="24"/>
    <col min="769" max="769" width="3.25" style="24" customWidth="1"/>
    <col min="770" max="770" width="11.375" style="24" customWidth="1"/>
    <col min="771" max="773" width="8.875" style="24" customWidth="1"/>
    <col min="774" max="776" width="8.75" style="24" customWidth="1"/>
    <col min="777" max="777" width="8.875" style="24" customWidth="1"/>
    <col min="778" max="778" width="8.375" style="24" customWidth="1"/>
    <col min="779" max="782" width="9.375" style="24" customWidth="1"/>
    <col min="783" max="1024" width="9" style="24"/>
    <col min="1025" max="1025" width="3.25" style="24" customWidth="1"/>
    <col min="1026" max="1026" width="11.375" style="24" customWidth="1"/>
    <col min="1027" max="1029" width="8.875" style="24" customWidth="1"/>
    <col min="1030" max="1032" width="8.75" style="24" customWidth="1"/>
    <col min="1033" max="1033" width="8.875" style="24" customWidth="1"/>
    <col min="1034" max="1034" width="8.375" style="24" customWidth="1"/>
    <col min="1035" max="1038" width="9.375" style="24" customWidth="1"/>
    <col min="1039" max="1280" width="9" style="24"/>
    <col min="1281" max="1281" width="3.25" style="24" customWidth="1"/>
    <col min="1282" max="1282" width="11.375" style="24" customWidth="1"/>
    <col min="1283" max="1285" width="8.875" style="24" customWidth="1"/>
    <col min="1286" max="1288" width="8.75" style="24" customWidth="1"/>
    <col min="1289" max="1289" width="8.875" style="24" customWidth="1"/>
    <col min="1290" max="1290" width="8.375" style="24" customWidth="1"/>
    <col min="1291" max="1294" width="9.375" style="24" customWidth="1"/>
    <col min="1295" max="1536" width="9" style="24"/>
    <col min="1537" max="1537" width="3.25" style="24" customWidth="1"/>
    <col min="1538" max="1538" width="11.375" style="24" customWidth="1"/>
    <col min="1539" max="1541" width="8.875" style="24" customWidth="1"/>
    <col min="1542" max="1544" width="8.75" style="24" customWidth="1"/>
    <col min="1545" max="1545" width="8.875" style="24" customWidth="1"/>
    <col min="1546" max="1546" width="8.375" style="24" customWidth="1"/>
    <col min="1547" max="1550" width="9.375" style="24" customWidth="1"/>
    <col min="1551" max="1792" width="9" style="24"/>
    <col min="1793" max="1793" width="3.25" style="24" customWidth="1"/>
    <col min="1794" max="1794" width="11.375" style="24" customWidth="1"/>
    <col min="1795" max="1797" width="8.875" style="24" customWidth="1"/>
    <col min="1798" max="1800" width="8.75" style="24" customWidth="1"/>
    <col min="1801" max="1801" width="8.875" style="24" customWidth="1"/>
    <col min="1802" max="1802" width="8.375" style="24" customWidth="1"/>
    <col min="1803" max="1806" width="9.375" style="24" customWidth="1"/>
    <col min="1807" max="2048" width="9" style="24"/>
    <col min="2049" max="2049" width="3.25" style="24" customWidth="1"/>
    <col min="2050" max="2050" width="11.375" style="24" customWidth="1"/>
    <col min="2051" max="2053" width="8.875" style="24" customWidth="1"/>
    <col min="2054" max="2056" width="8.75" style="24" customWidth="1"/>
    <col min="2057" max="2057" width="8.875" style="24" customWidth="1"/>
    <col min="2058" max="2058" width="8.375" style="24" customWidth="1"/>
    <col min="2059" max="2062" width="9.375" style="24" customWidth="1"/>
    <col min="2063" max="2304" width="9" style="24"/>
    <col min="2305" max="2305" width="3.25" style="24" customWidth="1"/>
    <col min="2306" max="2306" width="11.375" style="24" customWidth="1"/>
    <col min="2307" max="2309" width="8.875" style="24" customWidth="1"/>
    <col min="2310" max="2312" width="8.75" style="24" customWidth="1"/>
    <col min="2313" max="2313" width="8.875" style="24" customWidth="1"/>
    <col min="2314" max="2314" width="8.375" style="24" customWidth="1"/>
    <col min="2315" max="2318" width="9.375" style="24" customWidth="1"/>
    <col min="2319" max="2560" width="9" style="24"/>
    <col min="2561" max="2561" width="3.25" style="24" customWidth="1"/>
    <col min="2562" max="2562" width="11.375" style="24" customWidth="1"/>
    <col min="2563" max="2565" width="8.875" style="24" customWidth="1"/>
    <col min="2566" max="2568" width="8.75" style="24" customWidth="1"/>
    <col min="2569" max="2569" width="8.875" style="24" customWidth="1"/>
    <col min="2570" max="2570" width="8.375" style="24" customWidth="1"/>
    <col min="2571" max="2574" width="9.375" style="24" customWidth="1"/>
    <col min="2575" max="2816" width="9" style="24"/>
    <col min="2817" max="2817" width="3.25" style="24" customWidth="1"/>
    <col min="2818" max="2818" width="11.375" style="24" customWidth="1"/>
    <col min="2819" max="2821" width="8.875" style="24" customWidth="1"/>
    <col min="2822" max="2824" width="8.75" style="24" customWidth="1"/>
    <col min="2825" max="2825" width="8.875" style="24" customWidth="1"/>
    <col min="2826" max="2826" width="8.375" style="24" customWidth="1"/>
    <col min="2827" max="2830" width="9.375" style="24" customWidth="1"/>
    <col min="2831" max="3072" width="9" style="24"/>
    <col min="3073" max="3073" width="3.25" style="24" customWidth="1"/>
    <col min="3074" max="3074" width="11.375" style="24" customWidth="1"/>
    <col min="3075" max="3077" width="8.875" style="24" customWidth="1"/>
    <col min="3078" max="3080" width="8.75" style="24" customWidth="1"/>
    <col min="3081" max="3081" width="8.875" style="24" customWidth="1"/>
    <col min="3082" max="3082" width="8.375" style="24" customWidth="1"/>
    <col min="3083" max="3086" width="9.375" style="24" customWidth="1"/>
    <col min="3087" max="3328" width="9" style="24"/>
    <col min="3329" max="3329" width="3.25" style="24" customWidth="1"/>
    <col min="3330" max="3330" width="11.375" style="24" customWidth="1"/>
    <col min="3331" max="3333" width="8.875" style="24" customWidth="1"/>
    <col min="3334" max="3336" width="8.75" style="24" customWidth="1"/>
    <col min="3337" max="3337" width="8.875" style="24" customWidth="1"/>
    <col min="3338" max="3338" width="8.375" style="24" customWidth="1"/>
    <col min="3339" max="3342" width="9.375" style="24" customWidth="1"/>
    <col min="3343" max="3584" width="9" style="24"/>
    <col min="3585" max="3585" width="3.25" style="24" customWidth="1"/>
    <col min="3586" max="3586" width="11.375" style="24" customWidth="1"/>
    <col min="3587" max="3589" width="8.875" style="24" customWidth="1"/>
    <col min="3590" max="3592" width="8.75" style="24" customWidth="1"/>
    <col min="3593" max="3593" width="8.875" style="24" customWidth="1"/>
    <col min="3594" max="3594" width="8.375" style="24" customWidth="1"/>
    <col min="3595" max="3598" width="9.375" style="24" customWidth="1"/>
    <col min="3599" max="3840" width="9" style="24"/>
    <col min="3841" max="3841" width="3.25" style="24" customWidth="1"/>
    <col min="3842" max="3842" width="11.375" style="24" customWidth="1"/>
    <col min="3843" max="3845" width="8.875" style="24" customWidth="1"/>
    <col min="3846" max="3848" width="8.75" style="24" customWidth="1"/>
    <col min="3849" max="3849" width="8.875" style="24" customWidth="1"/>
    <col min="3850" max="3850" width="8.375" style="24" customWidth="1"/>
    <col min="3851" max="3854" width="9.375" style="24" customWidth="1"/>
    <col min="3855" max="4096" width="9" style="24"/>
    <col min="4097" max="4097" width="3.25" style="24" customWidth="1"/>
    <col min="4098" max="4098" width="11.375" style="24" customWidth="1"/>
    <col min="4099" max="4101" width="8.875" style="24" customWidth="1"/>
    <col min="4102" max="4104" width="8.75" style="24" customWidth="1"/>
    <col min="4105" max="4105" width="8.875" style="24" customWidth="1"/>
    <col min="4106" max="4106" width="8.375" style="24" customWidth="1"/>
    <col min="4107" max="4110" width="9.375" style="24" customWidth="1"/>
    <col min="4111" max="4352" width="9" style="24"/>
    <col min="4353" max="4353" width="3.25" style="24" customWidth="1"/>
    <col min="4354" max="4354" width="11.375" style="24" customWidth="1"/>
    <col min="4355" max="4357" width="8.875" style="24" customWidth="1"/>
    <col min="4358" max="4360" width="8.75" style="24" customWidth="1"/>
    <col min="4361" max="4361" width="8.875" style="24" customWidth="1"/>
    <col min="4362" max="4362" width="8.375" style="24" customWidth="1"/>
    <col min="4363" max="4366" width="9.375" style="24" customWidth="1"/>
    <col min="4367" max="4608" width="9" style="24"/>
    <col min="4609" max="4609" width="3.25" style="24" customWidth="1"/>
    <col min="4610" max="4610" width="11.375" style="24" customWidth="1"/>
    <col min="4611" max="4613" width="8.875" style="24" customWidth="1"/>
    <col min="4614" max="4616" width="8.75" style="24" customWidth="1"/>
    <col min="4617" max="4617" width="8.875" style="24" customWidth="1"/>
    <col min="4618" max="4618" width="8.375" style="24" customWidth="1"/>
    <col min="4619" max="4622" width="9.375" style="24" customWidth="1"/>
    <col min="4623" max="4864" width="9" style="24"/>
    <col min="4865" max="4865" width="3.25" style="24" customWidth="1"/>
    <col min="4866" max="4866" width="11.375" style="24" customWidth="1"/>
    <col min="4867" max="4869" width="8.875" style="24" customWidth="1"/>
    <col min="4870" max="4872" width="8.75" style="24" customWidth="1"/>
    <col min="4873" max="4873" width="8.875" style="24" customWidth="1"/>
    <col min="4874" max="4874" width="8.375" style="24" customWidth="1"/>
    <col min="4875" max="4878" width="9.375" style="24" customWidth="1"/>
    <col min="4879" max="5120" width="9" style="24"/>
    <col min="5121" max="5121" width="3.25" style="24" customWidth="1"/>
    <col min="5122" max="5122" width="11.375" style="24" customWidth="1"/>
    <col min="5123" max="5125" width="8.875" style="24" customWidth="1"/>
    <col min="5126" max="5128" width="8.75" style="24" customWidth="1"/>
    <col min="5129" max="5129" width="8.875" style="24" customWidth="1"/>
    <col min="5130" max="5130" width="8.375" style="24" customWidth="1"/>
    <col min="5131" max="5134" width="9.375" style="24" customWidth="1"/>
    <col min="5135" max="5376" width="9" style="24"/>
    <col min="5377" max="5377" width="3.25" style="24" customWidth="1"/>
    <col min="5378" max="5378" width="11.375" style="24" customWidth="1"/>
    <col min="5379" max="5381" width="8.875" style="24" customWidth="1"/>
    <col min="5382" max="5384" width="8.75" style="24" customWidth="1"/>
    <col min="5385" max="5385" width="8.875" style="24" customWidth="1"/>
    <col min="5386" max="5386" width="8.375" style="24" customWidth="1"/>
    <col min="5387" max="5390" width="9.375" style="24" customWidth="1"/>
    <col min="5391" max="5632" width="9" style="24"/>
    <col min="5633" max="5633" width="3.25" style="24" customWidth="1"/>
    <col min="5634" max="5634" width="11.375" style="24" customWidth="1"/>
    <col min="5635" max="5637" width="8.875" style="24" customWidth="1"/>
    <col min="5638" max="5640" width="8.75" style="24" customWidth="1"/>
    <col min="5641" max="5641" width="8.875" style="24" customWidth="1"/>
    <col min="5642" max="5642" width="8.375" style="24" customWidth="1"/>
    <col min="5643" max="5646" width="9.375" style="24" customWidth="1"/>
    <col min="5647" max="5888" width="9" style="24"/>
    <col min="5889" max="5889" width="3.25" style="24" customWidth="1"/>
    <col min="5890" max="5890" width="11.375" style="24" customWidth="1"/>
    <col min="5891" max="5893" width="8.875" style="24" customWidth="1"/>
    <col min="5894" max="5896" width="8.75" style="24" customWidth="1"/>
    <col min="5897" max="5897" width="8.875" style="24" customWidth="1"/>
    <col min="5898" max="5898" width="8.375" style="24" customWidth="1"/>
    <col min="5899" max="5902" width="9.375" style="24" customWidth="1"/>
    <col min="5903" max="6144" width="9" style="24"/>
    <col min="6145" max="6145" width="3.25" style="24" customWidth="1"/>
    <col min="6146" max="6146" width="11.375" style="24" customWidth="1"/>
    <col min="6147" max="6149" width="8.875" style="24" customWidth="1"/>
    <col min="6150" max="6152" width="8.75" style="24" customWidth="1"/>
    <col min="6153" max="6153" width="8.875" style="24" customWidth="1"/>
    <col min="6154" max="6154" width="8.375" style="24" customWidth="1"/>
    <col min="6155" max="6158" width="9.375" style="24" customWidth="1"/>
    <col min="6159" max="6400" width="9" style="24"/>
    <col min="6401" max="6401" width="3.25" style="24" customWidth="1"/>
    <col min="6402" max="6402" width="11.375" style="24" customWidth="1"/>
    <col min="6403" max="6405" width="8.875" style="24" customWidth="1"/>
    <col min="6406" max="6408" width="8.75" style="24" customWidth="1"/>
    <col min="6409" max="6409" width="8.875" style="24" customWidth="1"/>
    <col min="6410" max="6410" width="8.375" style="24" customWidth="1"/>
    <col min="6411" max="6414" width="9.375" style="24" customWidth="1"/>
    <col min="6415" max="6656" width="9" style="24"/>
    <col min="6657" max="6657" width="3.25" style="24" customWidth="1"/>
    <col min="6658" max="6658" width="11.375" style="24" customWidth="1"/>
    <col min="6659" max="6661" width="8.875" style="24" customWidth="1"/>
    <col min="6662" max="6664" width="8.75" style="24" customWidth="1"/>
    <col min="6665" max="6665" width="8.875" style="24" customWidth="1"/>
    <col min="6666" max="6666" width="8.375" style="24" customWidth="1"/>
    <col min="6667" max="6670" width="9.375" style="24" customWidth="1"/>
    <col min="6671" max="6912" width="9" style="24"/>
    <col min="6913" max="6913" width="3.25" style="24" customWidth="1"/>
    <col min="6914" max="6914" width="11.375" style="24" customWidth="1"/>
    <col min="6915" max="6917" width="8.875" style="24" customWidth="1"/>
    <col min="6918" max="6920" width="8.75" style="24" customWidth="1"/>
    <col min="6921" max="6921" width="8.875" style="24" customWidth="1"/>
    <col min="6922" max="6922" width="8.375" style="24" customWidth="1"/>
    <col min="6923" max="6926" width="9.375" style="24" customWidth="1"/>
    <col min="6927" max="7168" width="9" style="24"/>
    <col min="7169" max="7169" width="3.25" style="24" customWidth="1"/>
    <col min="7170" max="7170" width="11.375" style="24" customWidth="1"/>
    <col min="7171" max="7173" width="8.875" style="24" customWidth="1"/>
    <col min="7174" max="7176" width="8.75" style="24" customWidth="1"/>
    <col min="7177" max="7177" width="8.875" style="24" customWidth="1"/>
    <col min="7178" max="7178" width="8.375" style="24" customWidth="1"/>
    <col min="7179" max="7182" width="9.375" style="24" customWidth="1"/>
    <col min="7183" max="7424" width="9" style="24"/>
    <col min="7425" max="7425" width="3.25" style="24" customWidth="1"/>
    <col min="7426" max="7426" width="11.375" style="24" customWidth="1"/>
    <col min="7427" max="7429" width="8.875" style="24" customWidth="1"/>
    <col min="7430" max="7432" width="8.75" style="24" customWidth="1"/>
    <col min="7433" max="7433" width="8.875" style="24" customWidth="1"/>
    <col min="7434" max="7434" width="8.375" style="24" customWidth="1"/>
    <col min="7435" max="7438" width="9.375" style="24" customWidth="1"/>
    <col min="7439" max="7680" width="9" style="24"/>
    <col min="7681" max="7681" width="3.25" style="24" customWidth="1"/>
    <col min="7682" max="7682" width="11.375" style="24" customWidth="1"/>
    <col min="7683" max="7685" width="8.875" style="24" customWidth="1"/>
    <col min="7686" max="7688" width="8.75" style="24" customWidth="1"/>
    <col min="7689" max="7689" width="8.875" style="24" customWidth="1"/>
    <col min="7690" max="7690" width="8.375" style="24" customWidth="1"/>
    <col min="7691" max="7694" width="9.375" style="24" customWidth="1"/>
    <col min="7695" max="7936" width="9" style="24"/>
    <col min="7937" max="7937" width="3.25" style="24" customWidth="1"/>
    <col min="7938" max="7938" width="11.375" style="24" customWidth="1"/>
    <col min="7939" max="7941" width="8.875" style="24" customWidth="1"/>
    <col min="7942" max="7944" width="8.75" style="24" customWidth="1"/>
    <col min="7945" max="7945" width="8.875" style="24" customWidth="1"/>
    <col min="7946" max="7946" width="8.375" style="24" customWidth="1"/>
    <col min="7947" max="7950" width="9.375" style="24" customWidth="1"/>
    <col min="7951" max="8192" width="9" style="24"/>
    <col min="8193" max="8193" width="3.25" style="24" customWidth="1"/>
    <col min="8194" max="8194" width="11.375" style="24" customWidth="1"/>
    <col min="8195" max="8197" width="8.875" style="24" customWidth="1"/>
    <col min="8198" max="8200" width="8.75" style="24" customWidth="1"/>
    <col min="8201" max="8201" width="8.875" style="24" customWidth="1"/>
    <col min="8202" max="8202" width="8.375" style="24" customWidth="1"/>
    <col min="8203" max="8206" width="9.375" style="24" customWidth="1"/>
    <col min="8207" max="8448" width="9" style="24"/>
    <col min="8449" max="8449" width="3.25" style="24" customWidth="1"/>
    <col min="8450" max="8450" width="11.375" style="24" customWidth="1"/>
    <col min="8451" max="8453" width="8.875" style="24" customWidth="1"/>
    <col min="8454" max="8456" width="8.75" style="24" customWidth="1"/>
    <col min="8457" max="8457" width="8.875" style="24" customWidth="1"/>
    <col min="8458" max="8458" width="8.375" style="24" customWidth="1"/>
    <col min="8459" max="8462" width="9.375" style="24" customWidth="1"/>
    <col min="8463" max="8704" width="9" style="24"/>
    <col min="8705" max="8705" width="3.25" style="24" customWidth="1"/>
    <col min="8706" max="8706" width="11.375" style="24" customWidth="1"/>
    <col min="8707" max="8709" width="8.875" style="24" customWidth="1"/>
    <col min="8710" max="8712" width="8.75" style="24" customWidth="1"/>
    <col min="8713" max="8713" width="8.875" style="24" customWidth="1"/>
    <col min="8714" max="8714" width="8.375" style="24" customWidth="1"/>
    <col min="8715" max="8718" width="9.375" style="24" customWidth="1"/>
    <col min="8719" max="8960" width="9" style="24"/>
    <col min="8961" max="8961" width="3.25" style="24" customWidth="1"/>
    <col min="8962" max="8962" width="11.375" style="24" customWidth="1"/>
    <col min="8963" max="8965" width="8.875" style="24" customWidth="1"/>
    <col min="8966" max="8968" width="8.75" style="24" customWidth="1"/>
    <col min="8969" max="8969" width="8.875" style="24" customWidth="1"/>
    <col min="8970" max="8970" width="8.375" style="24" customWidth="1"/>
    <col min="8971" max="8974" width="9.375" style="24" customWidth="1"/>
    <col min="8975" max="9216" width="9" style="24"/>
    <col min="9217" max="9217" width="3.25" style="24" customWidth="1"/>
    <col min="9218" max="9218" width="11.375" style="24" customWidth="1"/>
    <col min="9219" max="9221" width="8.875" style="24" customWidth="1"/>
    <col min="9222" max="9224" width="8.75" style="24" customWidth="1"/>
    <col min="9225" max="9225" width="8.875" style="24" customWidth="1"/>
    <col min="9226" max="9226" width="8.375" style="24" customWidth="1"/>
    <col min="9227" max="9230" width="9.375" style="24" customWidth="1"/>
    <col min="9231" max="9472" width="9" style="24"/>
    <col min="9473" max="9473" width="3.25" style="24" customWidth="1"/>
    <col min="9474" max="9474" width="11.375" style="24" customWidth="1"/>
    <col min="9475" max="9477" width="8.875" style="24" customWidth="1"/>
    <col min="9478" max="9480" width="8.75" style="24" customWidth="1"/>
    <col min="9481" max="9481" width="8.875" style="24" customWidth="1"/>
    <col min="9482" max="9482" width="8.375" style="24" customWidth="1"/>
    <col min="9483" max="9486" width="9.375" style="24" customWidth="1"/>
    <col min="9487" max="9728" width="9" style="24"/>
    <col min="9729" max="9729" width="3.25" style="24" customWidth="1"/>
    <col min="9730" max="9730" width="11.375" style="24" customWidth="1"/>
    <col min="9731" max="9733" width="8.875" style="24" customWidth="1"/>
    <col min="9734" max="9736" width="8.75" style="24" customWidth="1"/>
    <col min="9737" max="9737" width="8.875" style="24" customWidth="1"/>
    <col min="9738" max="9738" width="8.375" style="24" customWidth="1"/>
    <col min="9739" max="9742" width="9.375" style="24" customWidth="1"/>
    <col min="9743" max="9984" width="9" style="24"/>
    <col min="9985" max="9985" width="3.25" style="24" customWidth="1"/>
    <col min="9986" max="9986" width="11.375" style="24" customWidth="1"/>
    <col min="9987" max="9989" width="8.875" style="24" customWidth="1"/>
    <col min="9990" max="9992" width="8.75" style="24" customWidth="1"/>
    <col min="9993" max="9993" width="8.875" style="24" customWidth="1"/>
    <col min="9994" max="9994" width="8.375" style="24" customWidth="1"/>
    <col min="9995" max="9998" width="9.375" style="24" customWidth="1"/>
    <col min="9999" max="10240" width="9" style="24"/>
    <col min="10241" max="10241" width="3.25" style="24" customWidth="1"/>
    <col min="10242" max="10242" width="11.375" style="24" customWidth="1"/>
    <col min="10243" max="10245" width="8.875" style="24" customWidth="1"/>
    <col min="10246" max="10248" width="8.75" style="24" customWidth="1"/>
    <col min="10249" max="10249" width="8.875" style="24" customWidth="1"/>
    <col min="10250" max="10250" width="8.375" style="24" customWidth="1"/>
    <col min="10251" max="10254" width="9.375" style="24" customWidth="1"/>
    <col min="10255" max="10496" width="9" style="24"/>
    <col min="10497" max="10497" width="3.25" style="24" customWidth="1"/>
    <col min="10498" max="10498" width="11.375" style="24" customWidth="1"/>
    <col min="10499" max="10501" width="8.875" style="24" customWidth="1"/>
    <col min="10502" max="10504" width="8.75" style="24" customWidth="1"/>
    <col min="10505" max="10505" width="8.875" style="24" customWidth="1"/>
    <col min="10506" max="10506" width="8.375" style="24" customWidth="1"/>
    <col min="10507" max="10510" width="9.375" style="24" customWidth="1"/>
    <col min="10511" max="10752" width="9" style="24"/>
    <col min="10753" max="10753" width="3.25" style="24" customWidth="1"/>
    <col min="10754" max="10754" width="11.375" style="24" customWidth="1"/>
    <col min="10755" max="10757" width="8.875" style="24" customWidth="1"/>
    <col min="10758" max="10760" width="8.75" style="24" customWidth="1"/>
    <col min="10761" max="10761" width="8.875" style="24" customWidth="1"/>
    <col min="10762" max="10762" width="8.375" style="24" customWidth="1"/>
    <col min="10763" max="10766" width="9.375" style="24" customWidth="1"/>
    <col min="10767" max="11008" width="9" style="24"/>
    <col min="11009" max="11009" width="3.25" style="24" customWidth="1"/>
    <col min="11010" max="11010" width="11.375" style="24" customWidth="1"/>
    <col min="11011" max="11013" width="8.875" style="24" customWidth="1"/>
    <col min="11014" max="11016" width="8.75" style="24" customWidth="1"/>
    <col min="11017" max="11017" width="8.875" style="24" customWidth="1"/>
    <col min="11018" max="11018" width="8.375" style="24" customWidth="1"/>
    <col min="11019" max="11022" width="9.375" style="24" customWidth="1"/>
    <col min="11023" max="11264" width="9" style="24"/>
    <col min="11265" max="11265" width="3.25" style="24" customWidth="1"/>
    <col min="11266" max="11266" width="11.375" style="24" customWidth="1"/>
    <col min="11267" max="11269" width="8.875" style="24" customWidth="1"/>
    <col min="11270" max="11272" width="8.75" style="24" customWidth="1"/>
    <col min="11273" max="11273" width="8.875" style="24" customWidth="1"/>
    <col min="11274" max="11274" width="8.375" style="24" customWidth="1"/>
    <col min="11275" max="11278" width="9.375" style="24" customWidth="1"/>
    <col min="11279" max="11520" width="9" style="24"/>
    <col min="11521" max="11521" width="3.25" style="24" customWidth="1"/>
    <col min="11522" max="11522" width="11.375" style="24" customWidth="1"/>
    <col min="11523" max="11525" width="8.875" style="24" customWidth="1"/>
    <col min="11526" max="11528" width="8.75" style="24" customWidth="1"/>
    <col min="11529" max="11529" width="8.875" style="24" customWidth="1"/>
    <col min="11530" max="11530" width="8.375" style="24" customWidth="1"/>
    <col min="11531" max="11534" width="9.375" style="24" customWidth="1"/>
    <col min="11535" max="11776" width="9" style="24"/>
    <col min="11777" max="11777" width="3.25" style="24" customWidth="1"/>
    <col min="11778" max="11778" width="11.375" style="24" customWidth="1"/>
    <col min="11779" max="11781" width="8.875" style="24" customWidth="1"/>
    <col min="11782" max="11784" width="8.75" style="24" customWidth="1"/>
    <col min="11785" max="11785" width="8.875" style="24" customWidth="1"/>
    <col min="11786" max="11786" width="8.375" style="24" customWidth="1"/>
    <col min="11787" max="11790" width="9.375" style="24" customWidth="1"/>
    <col min="11791" max="12032" width="9" style="24"/>
    <col min="12033" max="12033" width="3.25" style="24" customWidth="1"/>
    <col min="12034" max="12034" width="11.375" style="24" customWidth="1"/>
    <col min="12035" max="12037" width="8.875" style="24" customWidth="1"/>
    <col min="12038" max="12040" width="8.75" style="24" customWidth="1"/>
    <col min="12041" max="12041" width="8.875" style="24" customWidth="1"/>
    <col min="12042" max="12042" width="8.375" style="24" customWidth="1"/>
    <col min="12043" max="12046" width="9.375" style="24" customWidth="1"/>
    <col min="12047" max="12288" width="9" style="24"/>
    <col min="12289" max="12289" width="3.25" style="24" customWidth="1"/>
    <col min="12290" max="12290" width="11.375" style="24" customWidth="1"/>
    <col min="12291" max="12293" width="8.875" style="24" customWidth="1"/>
    <col min="12294" max="12296" width="8.75" style="24" customWidth="1"/>
    <col min="12297" max="12297" width="8.875" style="24" customWidth="1"/>
    <col min="12298" max="12298" width="8.375" style="24" customWidth="1"/>
    <col min="12299" max="12302" width="9.375" style="24" customWidth="1"/>
    <col min="12303" max="12544" width="9" style="24"/>
    <col min="12545" max="12545" width="3.25" style="24" customWidth="1"/>
    <col min="12546" max="12546" width="11.375" style="24" customWidth="1"/>
    <col min="12547" max="12549" width="8.875" style="24" customWidth="1"/>
    <col min="12550" max="12552" width="8.75" style="24" customWidth="1"/>
    <col min="12553" max="12553" width="8.875" style="24" customWidth="1"/>
    <col min="12554" max="12554" width="8.375" style="24" customWidth="1"/>
    <col min="12555" max="12558" width="9.375" style="24" customWidth="1"/>
    <col min="12559" max="12800" width="9" style="24"/>
    <col min="12801" max="12801" width="3.25" style="24" customWidth="1"/>
    <col min="12802" max="12802" width="11.375" style="24" customWidth="1"/>
    <col min="12803" max="12805" width="8.875" style="24" customWidth="1"/>
    <col min="12806" max="12808" width="8.75" style="24" customWidth="1"/>
    <col min="12809" max="12809" width="8.875" style="24" customWidth="1"/>
    <col min="12810" max="12810" width="8.375" style="24" customWidth="1"/>
    <col min="12811" max="12814" width="9.375" style="24" customWidth="1"/>
    <col min="12815" max="13056" width="9" style="24"/>
    <col min="13057" max="13057" width="3.25" style="24" customWidth="1"/>
    <col min="13058" max="13058" width="11.375" style="24" customWidth="1"/>
    <col min="13059" max="13061" width="8.875" style="24" customWidth="1"/>
    <col min="13062" max="13064" width="8.75" style="24" customWidth="1"/>
    <col min="13065" max="13065" width="8.875" style="24" customWidth="1"/>
    <col min="13066" max="13066" width="8.375" style="24" customWidth="1"/>
    <col min="13067" max="13070" width="9.375" style="24" customWidth="1"/>
    <col min="13071" max="13312" width="9" style="24"/>
    <col min="13313" max="13313" width="3.25" style="24" customWidth="1"/>
    <col min="13314" max="13314" width="11.375" style="24" customWidth="1"/>
    <col min="13315" max="13317" width="8.875" style="24" customWidth="1"/>
    <col min="13318" max="13320" width="8.75" style="24" customWidth="1"/>
    <col min="13321" max="13321" width="8.875" style="24" customWidth="1"/>
    <col min="13322" max="13322" width="8.375" style="24" customWidth="1"/>
    <col min="13323" max="13326" width="9.375" style="24" customWidth="1"/>
    <col min="13327" max="13568" width="9" style="24"/>
    <col min="13569" max="13569" width="3.25" style="24" customWidth="1"/>
    <col min="13570" max="13570" width="11.375" style="24" customWidth="1"/>
    <col min="13571" max="13573" width="8.875" style="24" customWidth="1"/>
    <col min="13574" max="13576" width="8.75" style="24" customWidth="1"/>
    <col min="13577" max="13577" width="8.875" style="24" customWidth="1"/>
    <col min="13578" max="13578" width="8.375" style="24" customWidth="1"/>
    <col min="13579" max="13582" width="9.375" style="24" customWidth="1"/>
    <col min="13583" max="13824" width="9" style="24"/>
    <col min="13825" max="13825" width="3.25" style="24" customWidth="1"/>
    <col min="13826" max="13826" width="11.375" style="24" customWidth="1"/>
    <col min="13827" max="13829" width="8.875" style="24" customWidth="1"/>
    <col min="13830" max="13832" width="8.75" style="24" customWidth="1"/>
    <col min="13833" max="13833" width="8.875" style="24" customWidth="1"/>
    <col min="13834" max="13834" width="8.375" style="24" customWidth="1"/>
    <col min="13835" max="13838" width="9.375" style="24" customWidth="1"/>
    <col min="13839" max="14080" width="9" style="24"/>
    <col min="14081" max="14081" width="3.25" style="24" customWidth="1"/>
    <col min="14082" max="14082" width="11.375" style="24" customWidth="1"/>
    <col min="14083" max="14085" width="8.875" style="24" customWidth="1"/>
    <col min="14086" max="14088" width="8.75" style="24" customWidth="1"/>
    <col min="14089" max="14089" width="8.875" style="24" customWidth="1"/>
    <col min="14090" max="14090" width="8.375" style="24" customWidth="1"/>
    <col min="14091" max="14094" width="9.375" style="24" customWidth="1"/>
    <col min="14095" max="14336" width="9" style="24"/>
    <col min="14337" max="14337" width="3.25" style="24" customWidth="1"/>
    <col min="14338" max="14338" width="11.375" style="24" customWidth="1"/>
    <col min="14339" max="14341" width="8.875" style="24" customWidth="1"/>
    <col min="14342" max="14344" width="8.75" style="24" customWidth="1"/>
    <col min="14345" max="14345" width="8.875" style="24" customWidth="1"/>
    <col min="14346" max="14346" width="8.375" style="24" customWidth="1"/>
    <col min="14347" max="14350" width="9.375" style="24" customWidth="1"/>
    <col min="14351" max="14592" width="9" style="24"/>
    <col min="14593" max="14593" width="3.25" style="24" customWidth="1"/>
    <col min="14594" max="14594" width="11.375" style="24" customWidth="1"/>
    <col min="14595" max="14597" width="8.875" style="24" customWidth="1"/>
    <col min="14598" max="14600" width="8.75" style="24" customWidth="1"/>
    <col min="14601" max="14601" width="8.875" style="24" customWidth="1"/>
    <col min="14602" max="14602" width="8.375" style="24" customWidth="1"/>
    <col min="14603" max="14606" width="9.375" style="24" customWidth="1"/>
    <col min="14607" max="14848" width="9" style="24"/>
    <col min="14849" max="14849" width="3.25" style="24" customWidth="1"/>
    <col min="14850" max="14850" width="11.375" style="24" customWidth="1"/>
    <col min="14851" max="14853" width="8.875" style="24" customWidth="1"/>
    <col min="14854" max="14856" width="8.75" style="24" customWidth="1"/>
    <col min="14857" max="14857" width="8.875" style="24" customWidth="1"/>
    <col min="14858" max="14858" width="8.375" style="24" customWidth="1"/>
    <col min="14859" max="14862" width="9.375" style="24" customWidth="1"/>
    <col min="14863" max="15104" width="9" style="24"/>
    <col min="15105" max="15105" width="3.25" style="24" customWidth="1"/>
    <col min="15106" max="15106" width="11.375" style="24" customWidth="1"/>
    <col min="15107" max="15109" width="8.875" style="24" customWidth="1"/>
    <col min="15110" max="15112" width="8.75" style="24" customWidth="1"/>
    <col min="15113" max="15113" width="8.875" style="24" customWidth="1"/>
    <col min="15114" max="15114" width="8.375" style="24" customWidth="1"/>
    <col min="15115" max="15118" width="9.375" style="24" customWidth="1"/>
    <col min="15119" max="15360" width="9" style="24"/>
    <col min="15361" max="15361" width="3.25" style="24" customWidth="1"/>
    <col min="15362" max="15362" width="11.375" style="24" customWidth="1"/>
    <col min="15363" max="15365" width="8.875" style="24" customWidth="1"/>
    <col min="15366" max="15368" width="8.75" style="24" customWidth="1"/>
    <col min="15369" max="15369" width="8.875" style="24" customWidth="1"/>
    <col min="15370" max="15370" width="8.375" style="24" customWidth="1"/>
    <col min="15371" max="15374" width="9.375" style="24" customWidth="1"/>
    <col min="15375" max="15616" width="9" style="24"/>
    <col min="15617" max="15617" width="3.25" style="24" customWidth="1"/>
    <col min="15618" max="15618" width="11.375" style="24" customWidth="1"/>
    <col min="15619" max="15621" width="8.875" style="24" customWidth="1"/>
    <col min="15622" max="15624" width="8.75" style="24" customWidth="1"/>
    <col min="15625" max="15625" width="8.875" style="24" customWidth="1"/>
    <col min="15626" max="15626" width="8.375" style="24" customWidth="1"/>
    <col min="15627" max="15630" width="9.375" style="24" customWidth="1"/>
    <col min="15631" max="15872" width="9" style="24"/>
    <col min="15873" max="15873" width="3.25" style="24" customWidth="1"/>
    <col min="15874" max="15874" width="11.375" style="24" customWidth="1"/>
    <col min="15875" max="15877" width="8.875" style="24" customWidth="1"/>
    <col min="15878" max="15880" width="8.75" style="24" customWidth="1"/>
    <col min="15881" max="15881" width="8.875" style="24" customWidth="1"/>
    <col min="15882" max="15882" width="8.375" style="24" customWidth="1"/>
    <col min="15883" max="15886" width="9.375" style="24" customWidth="1"/>
    <col min="15887" max="16128" width="9" style="24"/>
    <col min="16129" max="16129" width="3.25" style="24" customWidth="1"/>
    <col min="16130" max="16130" width="11.375" style="24" customWidth="1"/>
    <col min="16131" max="16133" width="8.875" style="24" customWidth="1"/>
    <col min="16134" max="16136" width="8.75" style="24" customWidth="1"/>
    <col min="16137" max="16137" width="8.875" style="24" customWidth="1"/>
    <col min="16138" max="16138" width="8.375" style="24" customWidth="1"/>
    <col min="16139" max="16142" width="9.375" style="24" customWidth="1"/>
    <col min="16143" max="16384" width="9" style="24"/>
  </cols>
  <sheetData>
    <row r="1" spans="1:14" ht="28.5" x14ac:dyDescent="0.75">
      <c r="A1" s="149" t="s">
        <v>116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6.5" thickBot="1" x14ac:dyDescent="0.45">
      <c r="A2" s="150" t="s">
        <v>107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 customHeight="1" x14ac:dyDescent="0.2">
      <c r="A3" s="153" t="s">
        <v>15</v>
      </c>
      <c r="B3" s="151" t="s">
        <v>94</v>
      </c>
      <c r="C3" s="151" t="s">
        <v>108</v>
      </c>
      <c r="D3" s="151"/>
      <c r="E3" s="151"/>
      <c r="F3" s="151"/>
      <c r="G3" s="151" t="s">
        <v>109</v>
      </c>
      <c r="H3" s="151"/>
      <c r="I3" s="151"/>
      <c r="J3" s="151"/>
      <c r="K3" s="151" t="s">
        <v>110</v>
      </c>
      <c r="L3" s="151"/>
      <c r="M3" s="151"/>
      <c r="N3" s="151"/>
    </row>
    <row r="4" spans="1:14" ht="15.75" x14ac:dyDescent="0.2">
      <c r="A4" s="154"/>
      <c r="B4" s="147"/>
      <c r="C4" s="147" t="s">
        <v>111</v>
      </c>
      <c r="D4" s="147"/>
      <c r="E4" s="147" t="s">
        <v>112</v>
      </c>
      <c r="F4" s="147"/>
      <c r="G4" s="147" t="s">
        <v>111</v>
      </c>
      <c r="H4" s="147"/>
      <c r="I4" s="147" t="s">
        <v>112</v>
      </c>
      <c r="J4" s="147"/>
      <c r="K4" s="147" t="s">
        <v>111</v>
      </c>
      <c r="L4" s="147"/>
      <c r="M4" s="147" t="s">
        <v>112</v>
      </c>
      <c r="N4" s="147"/>
    </row>
    <row r="5" spans="1:14" ht="16.5" thickBot="1" x14ac:dyDescent="0.25">
      <c r="A5" s="155"/>
      <c r="B5" s="156"/>
      <c r="C5" s="25" t="s">
        <v>113</v>
      </c>
      <c r="D5" s="25" t="s">
        <v>114</v>
      </c>
      <c r="E5" s="25" t="s">
        <v>113</v>
      </c>
      <c r="F5" s="25" t="s">
        <v>114</v>
      </c>
      <c r="G5" s="25" t="s">
        <v>113</v>
      </c>
      <c r="H5" s="25" t="s">
        <v>114</v>
      </c>
      <c r="I5" s="25" t="s">
        <v>113</v>
      </c>
      <c r="J5" s="25" t="s">
        <v>114</v>
      </c>
      <c r="K5" s="25" t="s">
        <v>113</v>
      </c>
      <c r="L5" s="25" t="s">
        <v>114</v>
      </c>
      <c r="M5" s="25" t="s">
        <v>113</v>
      </c>
      <c r="N5" s="25" t="s">
        <v>114</v>
      </c>
    </row>
    <row r="6" spans="1:14" ht="20.25" x14ac:dyDescent="0.2">
      <c r="A6" s="29">
        <v>1</v>
      </c>
      <c r="B6" s="38" t="s">
        <v>27</v>
      </c>
      <c r="C6" s="39">
        <v>1</v>
      </c>
      <c r="D6" s="39">
        <v>1000</v>
      </c>
      <c r="E6" s="39">
        <v>1</v>
      </c>
      <c r="F6" s="39">
        <v>1000</v>
      </c>
      <c r="G6" s="39">
        <v>2</v>
      </c>
      <c r="H6" s="39">
        <v>100</v>
      </c>
      <c r="I6" s="39">
        <v>16</v>
      </c>
      <c r="J6" s="39">
        <v>1315</v>
      </c>
      <c r="K6" s="39">
        <f>SUM(C6+G6)</f>
        <v>3</v>
      </c>
      <c r="L6" s="39">
        <f>SUM(D6+H6)</f>
        <v>1100</v>
      </c>
      <c r="M6" s="39">
        <f>SUM(E6+I6)</f>
        <v>17</v>
      </c>
      <c r="N6" s="39">
        <f>SUM(F6+J6)</f>
        <v>2315</v>
      </c>
    </row>
    <row r="7" spans="1:14" ht="17.100000000000001" customHeight="1" x14ac:dyDescent="0.2">
      <c r="A7" s="29">
        <v>2</v>
      </c>
      <c r="B7" s="30" t="s">
        <v>65</v>
      </c>
      <c r="C7" s="28">
        <v>0</v>
      </c>
      <c r="D7" s="28">
        <v>0</v>
      </c>
      <c r="E7" s="28">
        <v>0</v>
      </c>
      <c r="F7" s="28">
        <v>0</v>
      </c>
      <c r="G7" s="28">
        <v>15</v>
      </c>
      <c r="H7" s="28">
        <v>1400</v>
      </c>
      <c r="I7" s="28">
        <v>0</v>
      </c>
      <c r="J7" s="28">
        <v>0</v>
      </c>
      <c r="K7" s="39">
        <f t="shared" ref="K7:N32" si="0">SUM(C7+G7)</f>
        <v>15</v>
      </c>
      <c r="L7" s="39">
        <f t="shared" si="0"/>
        <v>1400</v>
      </c>
      <c r="M7" s="39">
        <f t="shared" si="0"/>
        <v>0</v>
      </c>
      <c r="N7" s="39">
        <f t="shared" si="0"/>
        <v>0</v>
      </c>
    </row>
    <row r="8" spans="1:14" ht="17.100000000000001" customHeight="1" x14ac:dyDescent="0.2">
      <c r="A8" s="29">
        <v>3</v>
      </c>
      <c r="B8" s="30" t="s">
        <v>66</v>
      </c>
      <c r="C8" s="28">
        <v>0</v>
      </c>
      <c r="D8" s="28">
        <v>0</v>
      </c>
      <c r="E8" s="28">
        <v>0</v>
      </c>
      <c r="F8" s="28">
        <v>0</v>
      </c>
      <c r="G8" s="28">
        <v>150</v>
      </c>
      <c r="H8" s="28">
        <v>9000</v>
      </c>
      <c r="I8" s="28">
        <v>50</v>
      </c>
      <c r="J8" s="28">
        <v>2600</v>
      </c>
      <c r="K8" s="39">
        <f t="shared" si="0"/>
        <v>150</v>
      </c>
      <c r="L8" s="39">
        <f t="shared" si="0"/>
        <v>9000</v>
      </c>
      <c r="M8" s="39">
        <f t="shared" si="0"/>
        <v>50</v>
      </c>
      <c r="N8" s="39">
        <f t="shared" si="0"/>
        <v>2600</v>
      </c>
    </row>
    <row r="9" spans="1:14" ht="17.100000000000001" customHeight="1" x14ac:dyDescent="0.2">
      <c r="A9" s="29">
        <v>4</v>
      </c>
      <c r="B9" s="30" t="s">
        <v>30</v>
      </c>
      <c r="C9" s="28">
        <v>2</v>
      </c>
      <c r="D9" s="28">
        <v>2000</v>
      </c>
      <c r="E9" s="28">
        <v>1</v>
      </c>
      <c r="F9" s="28">
        <v>500</v>
      </c>
      <c r="G9" s="28">
        <v>70</v>
      </c>
      <c r="H9" s="28">
        <v>7000</v>
      </c>
      <c r="I9" s="28">
        <v>30</v>
      </c>
      <c r="J9" s="28">
        <v>3000</v>
      </c>
      <c r="K9" s="39">
        <f t="shared" si="0"/>
        <v>72</v>
      </c>
      <c r="L9" s="39">
        <f t="shared" si="0"/>
        <v>9000</v>
      </c>
      <c r="M9" s="39">
        <f t="shared" si="0"/>
        <v>31</v>
      </c>
      <c r="N9" s="39">
        <f t="shared" si="0"/>
        <v>3500</v>
      </c>
    </row>
    <row r="10" spans="1:14" ht="17.100000000000001" customHeight="1" x14ac:dyDescent="0.2">
      <c r="A10" s="29">
        <v>5</v>
      </c>
      <c r="B10" s="30" t="s">
        <v>67</v>
      </c>
      <c r="C10" s="28">
        <v>9</v>
      </c>
      <c r="D10" s="28">
        <v>5000</v>
      </c>
      <c r="E10" s="28">
        <v>2</v>
      </c>
      <c r="F10" s="28">
        <v>1000</v>
      </c>
      <c r="G10" s="28">
        <v>179</v>
      </c>
      <c r="H10" s="28">
        <v>40000</v>
      </c>
      <c r="I10" s="28">
        <v>63</v>
      </c>
      <c r="J10" s="28">
        <v>20000</v>
      </c>
      <c r="K10" s="39">
        <f t="shared" si="0"/>
        <v>188</v>
      </c>
      <c r="L10" s="39">
        <f t="shared" si="0"/>
        <v>45000</v>
      </c>
      <c r="M10" s="39">
        <f t="shared" si="0"/>
        <v>65</v>
      </c>
      <c r="N10" s="39">
        <f t="shared" si="0"/>
        <v>21000</v>
      </c>
    </row>
    <row r="11" spans="1:14" ht="17.100000000000001" customHeight="1" x14ac:dyDescent="0.2">
      <c r="A11" s="29">
        <v>6</v>
      </c>
      <c r="B11" s="30" t="s">
        <v>32</v>
      </c>
      <c r="C11" s="28">
        <v>3</v>
      </c>
      <c r="D11" s="28">
        <v>2000</v>
      </c>
      <c r="E11" s="28">
        <v>3</v>
      </c>
      <c r="F11" s="28">
        <v>1250</v>
      </c>
      <c r="G11" s="28">
        <v>45</v>
      </c>
      <c r="H11" s="28">
        <v>4500</v>
      </c>
      <c r="I11" s="28">
        <v>38</v>
      </c>
      <c r="J11" s="28">
        <v>3800</v>
      </c>
      <c r="K11" s="39">
        <f t="shared" si="0"/>
        <v>48</v>
      </c>
      <c r="L11" s="39">
        <f t="shared" si="0"/>
        <v>6500</v>
      </c>
      <c r="M11" s="39">
        <f t="shared" si="0"/>
        <v>41</v>
      </c>
      <c r="N11" s="39">
        <f t="shared" si="0"/>
        <v>5050</v>
      </c>
    </row>
    <row r="12" spans="1:14" ht="17.100000000000001" customHeight="1" x14ac:dyDescent="0.2">
      <c r="A12" s="29">
        <v>7</v>
      </c>
      <c r="B12" s="30" t="s">
        <v>33</v>
      </c>
      <c r="C12" s="28">
        <v>15</v>
      </c>
      <c r="D12" s="28">
        <v>10700</v>
      </c>
      <c r="E12" s="28">
        <v>8</v>
      </c>
      <c r="F12" s="28">
        <v>5800</v>
      </c>
      <c r="G12" s="28">
        <v>26</v>
      </c>
      <c r="H12" s="28">
        <v>2325</v>
      </c>
      <c r="I12" s="28">
        <v>12</v>
      </c>
      <c r="J12" s="28">
        <v>1070</v>
      </c>
      <c r="K12" s="39">
        <f t="shared" si="0"/>
        <v>41</v>
      </c>
      <c r="L12" s="39">
        <f t="shared" si="0"/>
        <v>13025</v>
      </c>
      <c r="M12" s="39">
        <f t="shared" si="0"/>
        <v>20</v>
      </c>
      <c r="N12" s="39">
        <f t="shared" si="0"/>
        <v>6870</v>
      </c>
    </row>
    <row r="13" spans="1:14" ht="17.100000000000001" customHeight="1" x14ac:dyDescent="0.2">
      <c r="A13" s="29">
        <v>8</v>
      </c>
      <c r="B13" s="30" t="s">
        <v>68</v>
      </c>
      <c r="C13" s="28">
        <v>38</v>
      </c>
      <c r="D13" s="28">
        <v>9500</v>
      </c>
      <c r="E13" s="28">
        <v>13</v>
      </c>
      <c r="F13" s="28">
        <v>3000</v>
      </c>
      <c r="G13" s="28">
        <v>210</v>
      </c>
      <c r="H13" s="28">
        <v>12350</v>
      </c>
      <c r="I13" s="28">
        <v>60</v>
      </c>
      <c r="J13" s="28">
        <v>2550</v>
      </c>
      <c r="K13" s="39">
        <f t="shared" si="0"/>
        <v>248</v>
      </c>
      <c r="L13" s="39">
        <f t="shared" si="0"/>
        <v>21850</v>
      </c>
      <c r="M13" s="39">
        <f t="shared" si="0"/>
        <v>73</v>
      </c>
      <c r="N13" s="39">
        <f t="shared" si="0"/>
        <v>5550</v>
      </c>
    </row>
    <row r="14" spans="1:14" ht="17.100000000000001" customHeight="1" x14ac:dyDescent="0.2">
      <c r="A14" s="29">
        <v>9</v>
      </c>
      <c r="B14" s="30" t="s">
        <v>69</v>
      </c>
      <c r="C14" s="28">
        <v>5</v>
      </c>
      <c r="D14" s="28">
        <v>4000</v>
      </c>
      <c r="E14" s="28">
        <v>1</v>
      </c>
      <c r="F14" s="28">
        <v>4000</v>
      </c>
      <c r="G14" s="28">
        <v>15</v>
      </c>
      <c r="H14" s="28">
        <v>2010</v>
      </c>
      <c r="I14" s="28">
        <v>0</v>
      </c>
      <c r="J14" s="28">
        <v>0</v>
      </c>
      <c r="K14" s="39">
        <f t="shared" si="0"/>
        <v>20</v>
      </c>
      <c r="L14" s="39">
        <f t="shared" si="0"/>
        <v>6010</v>
      </c>
      <c r="M14" s="39">
        <f t="shared" si="0"/>
        <v>1</v>
      </c>
      <c r="N14" s="39">
        <f t="shared" si="0"/>
        <v>4000</v>
      </c>
    </row>
    <row r="15" spans="1:14" ht="17.100000000000001" customHeight="1" x14ac:dyDescent="0.2">
      <c r="A15" s="29">
        <v>10</v>
      </c>
      <c r="B15" s="30" t="s">
        <v>70</v>
      </c>
      <c r="C15" s="28">
        <v>1</v>
      </c>
      <c r="D15" s="28">
        <v>1000</v>
      </c>
      <c r="E15" s="28">
        <v>1</v>
      </c>
      <c r="F15" s="28">
        <v>500</v>
      </c>
      <c r="G15" s="28">
        <v>43</v>
      </c>
      <c r="H15" s="28">
        <v>6000</v>
      </c>
      <c r="I15" s="28">
        <v>30</v>
      </c>
      <c r="J15" s="28">
        <v>2400</v>
      </c>
      <c r="K15" s="39">
        <f t="shared" si="0"/>
        <v>44</v>
      </c>
      <c r="L15" s="39">
        <f t="shared" si="0"/>
        <v>7000</v>
      </c>
      <c r="M15" s="39">
        <f t="shared" si="0"/>
        <v>31</v>
      </c>
      <c r="N15" s="39">
        <f t="shared" si="0"/>
        <v>2900</v>
      </c>
    </row>
    <row r="16" spans="1:14" ht="17.100000000000001" customHeight="1" x14ac:dyDescent="0.2">
      <c r="A16" s="29">
        <v>11</v>
      </c>
      <c r="B16" s="30" t="s">
        <v>36</v>
      </c>
      <c r="C16" s="28">
        <v>1</v>
      </c>
      <c r="D16" s="28">
        <v>1000</v>
      </c>
      <c r="E16" s="28">
        <v>1</v>
      </c>
      <c r="F16" s="28">
        <v>1000</v>
      </c>
      <c r="G16" s="28">
        <v>35</v>
      </c>
      <c r="H16" s="28">
        <v>3850</v>
      </c>
      <c r="I16" s="28">
        <v>5</v>
      </c>
      <c r="J16" s="28">
        <v>550</v>
      </c>
      <c r="K16" s="39">
        <f t="shared" si="0"/>
        <v>36</v>
      </c>
      <c r="L16" s="39">
        <f t="shared" si="0"/>
        <v>4850</v>
      </c>
      <c r="M16" s="39">
        <f t="shared" si="0"/>
        <v>6</v>
      </c>
      <c r="N16" s="39">
        <f t="shared" si="0"/>
        <v>1550</v>
      </c>
    </row>
    <row r="17" spans="1:14" ht="17.100000000000001" customHeight="1" x14ac:dyDescent="0.2">
      <c r="A17" s="29">
        <v>12</v>
      </c>
      <c r="B17" s="30" t="s">
        <v>38</v>
      </c>
      <c r="C17" s="40">
        <v>0</v>
      </c>
      <c r="D17" s="40">
        <v>0</v>
      </c>
      <c r="E17" s="40">
        <v>2</v>
      </c>
      <c r="F17" s="40">
        <v>1000</v>
      </c>
      <c r="G17" s="40">
        <v>15</v>
      </c>
      <c r="H17" s="40">
        <v>2250</v>
      </c>
      <c r="I17" s="40">
        <v>7</v>
      </c>
      <c r="J17" s="40">
        <v>710</v>
      </c>
      <c r="K17" s="39">
        <f t="shared" si="0"/>
        <v>15</v>
      </c>
      <c r="L17" s="39">
        <f t="shared" si="0"/>
        <v>2250</v>
      </c>
      <c r="M17" s="39">
        <f t="shared" si="0"/>
        <v>9</v>
      </c>
      <c r="N17" s="39">
        <f t="shared" si="0"/>
        <v>1710</v>
      </c>
    </row>
    <row r="18" spans="1:14" ht="17.100000000000001" customHeight="1" x14ac:dyDescent="0.2">
      <c r="A18" s="29">
        <v>13</v>
      </c>
      <c r="B18" s="30" t="s">
        <v>39</v>
      </c>
      <c r="C18" s="40">
        <v>0</v>
      </c>
      <c r="D18" s="40">
        <v>0</v>
      </c>
      <c r="E18" s="40">
        <v>0</v>
      </c>
      <c r="F18" s="40">
        <v>0</v>
      </c>
      <c r="G18" s="40">
        <v>110</v>
      </c>
      <c r="H18" s="40">
        <v>16000</v>
      </c>
      <c r="I18" s="40">
        <v>8</v>
      </c>
      <c r="J18" s="40">
        <v>1200</v>
      </c>
      <c r="K18" s="39">
        <f t="shared" si="0"/>
        <v>110</v>
      </c>
      <c r="L18" s="39">
        <f t="shared" si="0"/>
        <v>16000</v>
      </c>
      <c r="M18" s="39">
        <f t="shared" si="0"/>
        <v>8</v>
      </c>
      <c r="N18" s="39">
        <f t="shared" si="0"/>
        <v>1200</v>
      </c>
    </row>
    <row r="19" spans="1:14" ht="17.100000000000001" customHeight="1" x14ac:dyDescent="0.2">
      <c r="A19" s="29">
        <v>14</v>
      </c>
      <c r="B19" s="30" t="s">
        <v>40</v>
      </c>
      <c r="C19" s="28">
        <v>2</v>
      </c>
      <c r="D19" s="28">
        <v>1000</v>
      </c>
      <c r="E19" s="28">
        <v>3</v>
      </c>
      <c r="F19" s="28">
        <v>1500</v>
      </c>
      <c r="G19" s="28">
        <v>70</v>
      </c>
      <c r="H19" s="28">
        <v>8700</v>
      </c>
      <c r="I19" s="28">
        <v>0</v>
      </c>
      <c r="J19" s="28">
        <v>0</v>
      </c>
      <c r="K19" s="39">
        <f t="shared" si="0"/>
        <v>72</v>
      </c>
      <c r="L19" s="39">
        <f t="shared" si="0"/>
        <v>9700</v>
      </c>
      <c r="M19" s="39">
        <f t="shared" si="0"/>
        <v>3</v>
      </c>
      <c r="N19" s="39">
        <f t="shared" si="0"/>
        <v>1500</v>
      </c>
    </row>
    <row r="20" spans="1:14" ht="17.100000000000001" customHeight="1" x14ac:dyDescent="0.2">
      <c r="A20" s="29">
        <v>15</v>
      </c>
      <c r="B20" s="30" t="s">
        <v>41</v>
      </c>
      <c r="C20" s="40">
        <v>1</v>
      </c>
      <c r="D20" s="40">
        <v>1000</v>
      </c>
      <c r="E20" s="40">
        <v>11</v>
      </c>
      <c r="F20" s="40">
        <v>11000</v>
      </c>
      <c r="G20" s="40">
        <v>60</v>
      </c>
      <c r="H20" s="40">
        <v>6000</v>
      </c>
      <c r="I20" s="40">
        <v>40</v>
      </c>
      <c r="J20" s="40">
        <v>5000</v>
      </c>
      <c r="K20" s="39">
        <f t="shared" si="0"/>
        <v>61</v>
      </c>
      <c r="L20" s="39">
        <f t="shared" si="0"/>
        <v>7000</v>
      </c>
      <c r="M20" s="39">
        <f t="shared" si="0"/>
        <v>51</v>
      </c>
      <c r="N20" s="39">
        <f t="shared" si="0"/>
        <v>16000</v>
      </c>
    </row>
    <row r="21" spans="1:14" ht="17.100000000000001" customHeight="1" x14ac:dyDescent="0.2">
      <c r="A21" s="29">
        <v>16</v>
      </c>
      <c r="B21" s="30" t="s">
        <v>71</v>
      </c>
      <c r="C21" s="28">
        <v>0</v>
      </c>
      <c r="D21" s="28">
        <v>0</v>
      </c>
      <c r="E21" s="28">
        <v>2</v>
      </c>
      <c r="F21" s="28">
        <v>1000</v>
      </c>
      <c r="G21" s="28">
        <v>20</v>
      </c>
      <c r="H21" s="28">
        <v>2000</v>
      </c>
      <c r="I21" s="28">
        <v>10</v>
      </c>
      <c r="J21" s="28">
        <v>1000</v>
      </c>
      <c r="K21" s="39">
        <f t="shared" si="0"/>
        <v>20</v>
      </c>
      <c r="L21" s="39">
        <f t="shared" si="0"/>
        <v>2000</v>
      </c>
      <c r="M21" s="39">
        <f t="shared" si="0"/>
        <v>12</v>
      </c>
      <c r="N21" s="39">
        <f t="shared" si="0"/>
        <v>2000</v>
      </c>
    </row>
    <row r="22" spans="1:14" ht="17.100000000000001" customHeight="1" x14ac:dyDescent="0.2">
      <c r="A22" s="29">
        <v>17</v>
      </c>
      <c r="B22" s="30" t="s">
        <v>43</v>
      </c>
      <c r="C22" s="28">
        <v>2</v>
      </c>
      <c r="D22" s="28">
        <v>1500</v>
      </c>
      <c r="E22" s="28">
        <v>8</v>
      </c>
      <c r="F22" s="28">
        <v>8100</v>
      </c>
      <c r="G22" s="28">
        <v>35</v>
      </c>
      <c r="H22" s="28">
        <v>1200</v>
      </c>
      <c r="I22" s="28">
        <v>42</v>
      </c>
      <c r="J22" s="28">
        <v>1300</v>
      </c>
      <c r="K22" s="39">
        <f t="shared" si="0"/>
        <v>37</v>
      </c>
      <c r="L22" s="39">
        <f t="shared" si="0"/>
        <v>2700</v>
      </c>
      <c r="M22" s="39">
        <f t="shared" si="0"/>
        <v>50</v>
      </c>
      <c r="N22" s="39">
        <f t="shared" si="0"/>
        <v>9400</v>
      </c>
    </row>
    <row r="23" spans="1:14" ht="17.100000000000001" customHeight="1" x14ac:dyDescent="0.2">
      <c r="A23" s="29">
        <v>18</v>
      </c>
      <c r="B23" s="30" t="s">
        <v>44</v>
      </c>
      <c r="C23" s="28">
        <v>1</v>
      </c>
      <c r="D23" s="28">
        <v>500</v>
      </c>
      <c r="E23" s="28">
        <v>2</v>
      </c>
      <c r="F23" s="28">
        <v>1000</v>
      </c>
      <c r="G23" s="28">
        <v>50</v>
      </c>
      <c r="H23" s="28">
        <v>2500</v>
      </c>
      <c r="I23" s="28">
        <v>0</v>
      </c>
      <c r="J23" s="28">
        <v>1200</v>
      </c>
      <c r="K23" s="39">
        <f t="shared" si="0"/>
        <v>51</v>
      </c>
      <c r="L23" s="39">
        <f t="shared" si="0"/>
        <v>3000</v>
      </c>
      <c r="M23" s="39">
        <f t="shared" si="0"/>
        <v>2</v>
      </c>
      <c r="N23" s="39">
        <f t="shared" si="0"/>
        <v>2200</v>
      </c>
    </row>
    <row r="24" spans="1:14" ht="17.100000000000001" customHeight="1" x14ac:dyDescent="0.2">
      <c r="A24" s="29">
        <v>19</v>
      </c>
      <c r="B24" s="30" t="s">
        <v>45</v>
      </c>
      <c r="C24" s="28">
        <v>4</v>
      </c>
      <c r="D24" s="28">
        <v>2000</v>
      </c>
      <c r="E24" s="28">
        <v>3</v>
      </c>
      <c r="F24" s="28">
        <v>2000</v>
      </c>
      <c r="G24" s="28">
        <v>150</v>
      </c>
      <c r="H24" s="28">
        <v>15000</v>
      </c>
      <c r="I24" s="28">
        <v>20</v>
      </c>
      <c r="J24" s="28">
        <v>2000</v>
      </c>
      <c r="K24" s="39">
        <f t="shared" si="0"/>
        <v>154</v>
      </c>
      <c r="L24" s="39">
        <f t="shared" si="0"/>
        <v>17000</v>
      </c>
      <c r="M24" s="39">
        <f t="shared" si="0"/>
        <v>23</v>
      </c>
      <c r="N24" s="39">
        <f t="shared" si="0"/>
        <v>4000</v>
      </c>
    </row>
    <row r="25" spans="1:14" ht="17.100000000000001" customHeight="1" x14ac:dyDescent="0.2">
      <c r="A25" s="29">
        <v>20</v>
      </c>
      <c r="B25" s="30" t="s">
        <v>46</v>
      </c>
      <c r="C25" s="28">
        <v>5</v>
      </c>
      <c r="D25" s="28">
        <v>3000</v>
      </c>
      <c r="E25" s="28">
        <v>12</v>
      </c>
      <c r="F25" s="28">
        <v>5200</v>
      </c>
      <c r="G25" s="28">
        <v>21</v>
      </c>
      <c r="H25" s="28">
        <v>2050</v>
      </c>
      <c r="I25" s="28">
        <v>30</v>
      </c>
      <c r="J25" s="28">
        <v>3030</v>
      </c>
      <c r="K25" s="39">
        <f t="shared" si="0"/>
        <v>26</v>
      </c>
      <c r="L25" s="39">
        <f t="shared" si="0"/>
        <v>5050</v>
      </c>
      <c r="M25" s="39">
        <f t="shared" si="0"/>
        <v>42</v>
      </c>
      <c r="N25" s="39">
        <f t="shared" si="0"/>
        <v>8230</v>
      </c>
    </row>
    <row r="26" spans="1:14" ht="17.100000000000001" customHeight="1" x14ac:dyDescent="0.2">
      <c r="A26" s="29">
        <v>21</v>
      </c>
      <c r="B26" s="30" t="s">
        <v>47</v>
      </c>
      <c r="C26" s="28">
        <v>0</v>
      </c>
      <c r="D26" s="28">
        <v>0</v>
      </c>
      <c r="E26" s="28">
        <v>0</v>
      </c>
      <c r="F26" s="28">
        <v>0</v>
      </c>
      <c r="G26" s="28">
        <v>235</v>
      </c>
      <c r="H26" s="28">
        <v>35776</v>
      </c>
      <c r="I26" s="28">
        <v>0</v>
      </c>
      <c r="J26" s="28">
        <v>0</v>
      </c>
      <c r="K26" s="39">
        <f t="shared" si="0"/>
        <v>235</v>
      </c>
      <c r="L26" s="39">
        <f t="shared" si="0"/>
        <v>35776</v>
      </c>
      <c r="M26" s="39">
        <f t="shared" si="0"/>
        <v>0</v>
      </c>
      <c r="N26" s="39">
        <f t="shared" si="0"/>
        <v>0</v>
      </c>
    </row>
    <row r="27" spans="1:14" ht="17.100000000000001" customHeight="1" x14ac:dyDescent="0.2">
      <c r="A27" s="29">
        <v>22</v>
      </c>
      <c r="B27" s="30" t="s">
        <v>48</v>
      </c>
      <c r="C27" s="28">
        <v>4</v>
      </c>
      <c r="D27" s="28">
        <v>2000</v>
      </c>
      <c r="E27" s="28">
        <v>0</v>
      </c>
      <c r="F27" s="28">
        <v>0</v>
      </c>
      <c r="G27" s="28">
        <v>700</v>
      </c>
      <c r="H27" s="28">
        <v>21000</v>
      </c>
      <c r="I27" s="28">
        <v>500</v>
      </c>
      <c r="J27" s="28">
        <v>15000</v>
      </c>
      <c r="K27" s="39">
        <f t="shared" si="0"/>
        <v>704</v>
      </c>
      <c r="L27" s="39">
        <f t="shared" si="0"/>
        <v>23000</v>
      </c>
      <c r="M27" s="39">
        <f t="shared" si="0"/>
        <v>500</v>
      </c>
      <c r="N27" s="39">
        <f t="shared" si="0"/>
        <v>15000</v>
      </c>
    </row>
    <row r="28" spans="1:14" ht="17.100000000000001" customHeight="1" x14ac:dyDescent="0.2">
      <c r="A28" s="29">
        <v>23</v>
      </c>
      <c r="B28" s="30" t="s">
        <v>72</v>
      </c>
      <c r="C28" s="28">
        <v>5</v>
      </c>
      <c r="D28" s="28">
        <v>3000</v>
      </c>
      <c r="E28" s="28">
        <v>1</v>
      </c>
      <c r="F28" s="28">
        <v>1500</v>
      </c>
      <c r="G28" s="28">
        <v>150</v>
      </c>
      <c r="H28" s="28">
        <v>12000</v>
      </c>
      <c r="I28" s="28">
        <v>10</v>
      </c>
      <c r="J28" s="28">
        <v>950</v>
      </c>
      <c r="K28" s="39">
        <f t="shared" si="0"/>
        <v>155</v>
      </c>
      <c r="L28" s="39">
        <f t="shared" si="0"/>
        <v>15000</v>
      </c>
      <c r="M28" s="39">
        <f t="shared" si="0"/>
        <v>11</v>
      </c>
      <c r="N28" s="39">
        <f t="shared" si="0"/>
        <v>2450</v>
      </c>
    </row>
    <row r="29" spans="1:14" ht="17.100000000000001" customHeight="1" x14ac:dyDescent="0.2">
      <c r="A29" s="29">
        <v>24</v>
      </c>
      <c r="B29" s="30" t="s">
        <v>73</v>
      </c>
      <c r="C29" s="28">
        <v>3</v>
      </c>
      <c r="D29" s="28">
        <v>525</v>
      </c>
      <c r="E29" s="28">
        <v>7</v>
      </c>
      <c r="F29" s="28">
        <v>210</v>
      </c>
      <c r="G29" s="28">
        <v>6</v>
      </c>
      <c r="H29" s="28">
        <v>210</v>
      </c>
      <c r="I29" s="28">
        <v>2</v>
      </c>
      <c r="J29" s="28">
        <v>7</v>
      </c>
      <c r="K29" s="39">
        <f t="shared" si="0"/>
        <v>9</v>
      </c>
      <c r="L29" s="39">
        <f t="shared" si="0"/>
        <v>735</v>
      </c>
      <c r="M29" s="39">
        <f t="shared" si="0"/>
        <v>9</v>
      </c>
      <c r="N29" s="39">
        <f t="shared" si="0"/>
        <v>217</v>
      </c>
    </row>
    <row r="30" spans="1:14" ht="17.100000000000001" customHeight="1" x14ac:dyDescent="0.2">
      <c r="A30" s="29">
        <v>25</v>
      </c>
      <c r="B30" s="30" t="s">
        <v>74</v>
      </c>
      <c r="C30" s="28">
        <v>14</v>
      </c>
      <c r="D30" s="28">
        <v>3200</v>
      </c>
      <c r="E30" s="28">
        <v>12</v>
      </c>
      <c r="F30" s="28">
        <v>4300</v>
      </c>
      <c r="G30" s="28">
        <v>460</v>
      </c>
      <c r="H30" s="28">
        <v>36800</v>
      </c>
      <c r="I30" s="28">
        <v>0</v>
      </c>
      <c r="J30" s="28">
        <v>0</v>
      </c>
      <c r="K30" s="39">
        <f t="shared" si="0"/>
        <v>474</v>
      </c>
      <c r="L30" s="39">
        <f t="shared" si="0"/>
        <v>40000</v>
      </c>
      <c r="M30" s="39">
        <f t="shared" si="0"/>
        <v>12</v>
      </c>
      <c r="N30" s="39">
        <f t="shared" si="0"/>
        <v>4300</v>
      </c>
    </row>
    <row r="31" spans="1:14" ht="17.100000000000001" customHeight="1" x14ac:dyDescent="0.2">
      <c r="A31" s="29">
        <v>26</v>
      </c>
      <c r="B31" s="30" t="s">
        <v>75</v>
      </c>
      <c r="C31" s="28">
        <v>1</v>
      </c>
      <c r="D31" s="28">
        <v>500</v>
      </c>
      <c r="E31" s="28">
        <v>1</v>
      </c>
      <c r="F31" s="28">
        <v>500</v>
      </c>
      <c r="G31" s="28">
        <v>81</v>
      </c>
      <c r="H31" s="28">
        <v>4050</v>
      </c>
      <c r="I31" s="28">
        <v>27</v>
      </c>
      <c r="J31" s="28">
        <v>1350</v>
      </c>
      <c r="K31" s="39">
        <f t="shared" si="0"/>
        <v>82</v>
      </c>
      <c r="L31" s="39">
        <f t="shared" si="0"/>
        <v>4550</v>
      </c>
      <c r="M31" s="39">
        <f t="shared" si="0"/>
        <v>28</v>
      </c>
      <c r="N31" s="39">
        <f t="shared" si="0"/>
        <v>1850</v>
      </c>
    </row>
    <row r="32" spans="1:14" ht="17.100000000000001" customHeight="1" thickBot="1" x14ac:dyDescent="0.25">
      <c r="A32" s="29">
        <v>27</v>
      </c>
      <c r="B32" s="33" t="s">
        <v>53</v>
      </c>
      <c r="C32" s="34">
        <v>0</v>
      </c>
      <c r="D32" s="34">
        <v>0</v>
      </c>
      <c r="E32" s="34">
        <v>1</v>
      </c>
      <c r="F32" s="34">
        <v>500</v>
      </c>
      <c r="G32" s="34">
        <v>26</v>
      </c>
      <c r="H32" s="34">
        <v>1460</v>
      </c>
      <c r="I32" s="34"/>
      <c r="J32" s="34"/>
      <c r="K32" s="39">
        <f t="shared" si="0"/>
        <v>26</v>
      </c>
      <c r="L32" s="39">
        <f t="shared" si="0"/>
        <v>1460</v>
      </c>
      <c r="M32" s="39">
        <f t="shared" si="0"/>
        <v>1</v>
      </c>
      <c r="N32" s="39">
        <f t="shared" si="0"/>
        <v>500</v>
      </c>
    </row>
    <row r="33" spans="1:14" ht="25.5" customHeight="1" thickBot="1" x14ac:dyDescent="0.25">
      <c r="A33" s="148" t="s">
        <v>115</v>
      </c>
      <c r="B33" s="148"/>
      <c r="C33" s="35">
        <f>SUM(C6:C32)</f>
        <v>117</v>
      </c>
      <c r="D33" s="35">
        <f t="shared" ref="D33:N33" si="1">SUM(D6:D32)</f>
        <v>54425</v>
      </c>
      <c r="E33" s="35">
        <f t="shared" si="1"/>
        <v>96</v>
      </c>
      <c r="F33" s="35">
        <f t="shared" si="1"/>
        <v>55860</v>
      </c>
      <c r="G33" s="35">
        <f t="shared" si="1"/>
        <v>2979</v>
      </c>
      <c r="H33" s="35">
        <f t="shared" si="1"/>
        <v>255531</v>
      </c>
      <c r="I33" s="35">
        <f t="shared" si="1"/>
        <v>1000</v>
      </c>
      <c r="J33" s="35">
        <f t="shared" si="1"/>
        <v>70032</v>
      </c>
      <c r="K33" s="35">
        <f t="shared" si="1"/>
        <v>3096</v>
      </c>
      <c r="L33" s="35">
        <f t="shared" si="1"/>
        <v>309956</v>
      </c>
      <c r="M33" s="35">
        <f t="shared" si="1"/>
        <v>1096</v>
      </c>
      <c r="N33" s="35">
        <f t="shared" si="1"/>
        <v>125892</v>
      </c>
    </row>
    <row r="36" spans="1:14" x14ac:dyDescent="0.2">
      <c r="B36" s="36"/>
      <c r="C36" s="36"/>
      <c r="E36" s="37"/>
    </row>
    <row r="37" spans="1:14" x14ac:dyDescent="0.2">
      <c r="B37" s="36"/>
      <c r="C37" s="36"/>
      <c r="E37" s="37"/>
    </row>
    <row r="38" spans="1:14" x14ac:dyDescent="0.2">
      <c r="B38" s="36"/>
      <c r="C38" s="36"/>
      <c r="E38" s="37"/>
    </row>
    <row r="39" spans="1:14" x14ac:dyDescent="0.2">
      <c r="B39" s="36"/>
      <c r="C39" s="36"/>
    </row>
    <row r="40" spans="1:14" x14ac:dyDescent="0.2">
      <c r="B40" s="36"/>
      <c r="C40" s="36"/>
      <c r="E40" s="37"/>
    </row>
    <row r="41" spans="1:14" x14ac:dyDescent="0.2">
      <c r="B41" s="36"/>
      <c r="C41" s="36"/>
      <c r="E41" s="37"/>
    </row>
    <row r="42" spans="1:14" x14ac:dyDescent="0.2">
      <c r="B42" s="36"/>
      <c r="C42" s="36"/>
      <c r="E42" s="37"/>
    </row>
    <row r="43" spans="1:14" x14ac:dyDescent="0.2">
      <c r="B43" s="36"/>
      <c r="C43" s="36"/>
    </row>
  </sheetData>
  <mergeCells count="14">
    <mergeCell ref="I4:J4"/>
    <mergeCell ref="K4:L4"/>
    <mergeCell ref="M4:N4"/>
    <mergeCell ref="A33:B33"/>
    <mergeCell ref="A1:N1"/>
    <mergeCell ref="A2:N2"/>
    <mergeCell ref="A3:A5"/>
    <mergeCell ref="B3:B5"/>
    <mergeCell ref="C3:F3"/>
    <mergeCell ref="G3:J3"/>
    <mergeCell ref="K3:N3"/>
    <mergeCell ref="C4:D4"/>
    <mergeCell ref="E4:F4"/>
    <mergeCell ref="G4:H4"/>
  </mergeCells>
  <pageMargins left="0.17" right="0.17" top="0.2" bottom="0.21" header="0.17" footer="0.1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rightToLeft="1" workbookViewId="0">
      <selection activeCell="M3" sqref="M3"/>
    </sheetView>
  </sheetViews>
  <sheetFormatPr defaultRowHeight="12.75" x14ac:dyDescent="0.2"/>
  <cols>
    <col min="1" max="1" width="4.625" style="41" customWidth="1"/>
    <col min="2" max="2" width="15.5" style="41" customWidth="1"/>
    <col min="3" max="4" width="9.875" style="41" customWidth="1"/>
    <col min="5" max="5" width="10.625" style="41" customWidth="1"/>
    <col min="6" max="6" width="10.25" style="41" customWidth="1"/>
    <col min="7" max="7" width="9.875" style="41" customWidth="1"/>
    <col min="8" max="8" width="9" style="41" customWidth="1"/>
    <col min="9" max="9" width="10.5" style="41" customWidth="1"/>
    <col min="10" max="10" width="10.25" style="41" bestFit="1" customWidth="1"/>
    <col min="11" max="11" width="9" style="41"/>
    <col min="12" max="12" width="8.875" style="41" bestFit="1" customWidth="1"/>
    <col min="13" max="16384" width="9" style="41"/>
  </cols>
  <sheetData>
    <row r="1" spans="1:14" ht="30.75" customHeight="1" thickBot="1" x14ac:dyDescent="0.8">
      <c r="A1" s="157" t="s">
        <v>117</v>
      </c>
      <c r="B1" s="157"/>
      <c r="C1" s="157"/>
      <c r="D1" s="157"/>
      <c r="E1" s="157"/>
      <c r="F1" s="157"/>
      <c r="G1" s="157"/>
      <c r="H1" s="157"/>
      <c r="I1" s="157"/>
    </row>
    <row r="2" spans="1:14" ht="34.5" customHeight="1" thickBot="1" x14ac:dyDescent="0.25">
      <c r="A2" s="42" t="s">
        <v>15</v>
      </c>
      <c r="B2" s="42" t="s">
        <v>1</v>
      </c>
      <c r="C2" s="42" t="s">
        <v>111</v>
      </c>
      <c r="D2" s="42" t="s">
        <v>118</v>
      </c>
      <c r="E2" s="43" t="s">
        <v>119</v>
      </c>
      <c r="F2" s="43" t="s">
        <v>120</v>
      </c>
      <c r="G2" s="42" t="s">
        <v>121</v>
      </c>
      <c r="H2" s="42" t="s">
        <v>122</v>
      </c>
      <c r="I2" s="43" t="s">
        <v>123</v>
      </c>
      <c r="J2" s="44" t="s">
        <v>124</v>
      </c>
      <c r="K2" s="44" t="s">
        <v>119</v>
      </c>
      <c r="L2" s="44" t="s">
        <v>125</v>
      </c>
      <c r="M2" s="44" t="s">
        <v>123</v>
      </c>
    </row>
    <row r="3" spans="1:14" ht="24" customHeight="1" x14ac:dyDescent="0.2">
      <c r="A3" s="45">
        <v>1</v>
      </c>
      <c r="B3" s="46" t="s">
        <v>27</v>
      </c>
      <c r="C3" s="47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f>D3+C3</f>
        <v>0</v>
      </c>
      <c r="K3" s="47">
        <f>E3</f>
        <v>0</v>
      </c>
      <c r="L3" s="47">
        <f t="shared" ref="L3:L29" si="0">G3+H3</f>
        <v>0</v>
      </c>
      <c r="M3" s="47">
        <f>I3</f>
        <v>0</v>
      </c>
      <c r="N3" s="41">
        <f>K3+M3</f>
        <v>0</v>
      </c>
    </row>
    <row r="4" spans="1:14" ht="24" customHeight="1" x14ac:dyDescent="0.2">
      <c r="A4" s="48">
        <v>2</v>
      </c>
      <c r="B4" s="46" t="s">
        <v>65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f t="shared" ref="J4:J30" si="1">D4+C4</f>
        <v>0</v>
      </c>
      <c r="K4" s="47">
        <f t="shared" ref="K4:K30" si="2">E4</f>
        <v>0</v>
      </c>
      <c r="L4" s="47">
        <f t="shared" si="0"/>
        <v>0</v>
      </c>
      <c r="M4" s="47">
        <f t="shared" ref="M4:M29" si="3">I4</f>
        <v>0</v>
      </c>
      <c r="N4" s="41">
        <f t="shared" ref="N4:N30" si="4">K4+M4</f>
        <v>0</v>
      </c>
    </row>
    <row r="5" spans="1:14" ht="24" customHeight="1" x14ac:dyDescent="0.2">
      <c r="A5" s="48">
        <v>3</v>
      </c>
      <c r="B5" s="49" t="s">
        <v>66</v>
      </c>
      <c r="C5" s="47">
        <v>0</v>
      </c>
      <c r="D5" s="47">
        <v>8</v>
      </c>
      <c r="E5" s="47">
        <v>400</v>
      </c>
      <c r="F5" s="50">
        <v>160</v>
      </c>
      <c r="G5" s="47">
        <v>0</v>
      </c>
      <c r="H5" s="47">
        <v>2</v>
      </c>
      <c r="I5" s="47">
        <v>100</v>
      </c>
      <c r="J5" s="47">
        <f t="shared" si="1"/>
        <v>8</v>
      </c>
      <c r="K5" s="47">
        <f t="shared" si="2"/>
        <v>400</v>
      </c>
      <c r="L5" s="47">
        <f t="shared" si="0"/>
        <v>2</v>
      </c>
      <c r="M5" s="47">
        <f t="shared" si="3"/>
        <v>100</v>
      </c>
      <c r="N5" s="41">
        <f t="shared" si="4"/>
        <v>500</v>
      </c>
    </row>
    <row r="6" spans="1:14" ht="24" customHeight="1" x14ac:dyDescent="0.2">
      <c r="A6" s="48">
        <v>4</v>
      </c>
      <c r="B6" s="49" t="s">
        <v>30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 t="shared" si="1"/>
        <v>0</v>
      </c>
      <c r="K6" s="47">
        <f t="shared" si="2"/>
        <v>0</v>
      </c>
      <c r="L6" s="47">
        <f t="shared" si="0"/>
        <v>0</v>
      </c>
      <c r="M6" s="47">
        <f t="shared" si="3"/>
        <v>0</v>
      </c>
      <c r="N6" s="41">
        <f t="shared" si="4"/>
        <v>0</v>
      </c>
    </row>
    <row r="7" spans="1:14" ht="24" customHeight="1" x14ac:dyDescent="0.2">
      <c r="A7" s="48">
        <v>5</v>
      </c>
      <c r="B7" s="49" t="s">
        <v>67</v>
      </c>
      <c r="C7" s="47">
        <v>27</v>
      </c>
      <c r="D7" s="47">
        <v>3</v>
      </c>
      <c r="E7" s="47">
        <v>1210</v>
      </c>
      <c r="F7" s="47">
        <v>903</v>
      </c>
      <c r="G7" s="47">
        <v>0</v>
      </c>
      <c r="H7" s="47">
        <v>0</v>
      </c>
      <c r="I7" s="47">
        <v>0</v>
      </c>
      <c r="J7" s="47">
        <f t="shared" si="1"/>
        <v>30</v>
      </c>
      <c r="K7" s="47">
        <f t="shared" si="2"/>
        <v>1210</v>
      </c>
      <c r="L7" s="47">
        <f t="shared" si="0"/>
        <v>0</v>
      </c>
      <c r="M7" s="47">
        <f t="shared" si="3"/>
        <v>0</v>
      </c>
      <c r="N7" s="41">
        <f t="shared" si="4"/>
        <v>1210</v>
      </c>
    </row>
    <row r="8" spans="1:14" ht="24" customHeight="1" x14ac:dyDescent="0.2">
      <c r="A8" s="48">
        <v>6</v>
      </c>
      <c r="B8" s="49" t="s">
        <v>32</v>
      </c>
      <c r="C8" s="47">
        <v>0</v>
      </c>
      <c r="D8" s="47">
        <v>1</v>
      </c>
      <c r="E8" s="47">
        <v>400</v>
      </c>
      <c r="F8" s="47">
        <v>50</v>
      </c>
      <c r="G8" s="47">
        <v>0</v>
      </c>
      <c r="H8" s="47">
        <v>0</v>
      </c>
      <c r="I8" s="47">
        <v>0</v>
      </c>
      <c r="J8" s="47">
        <f t="shared" si="1"/>
        <v>1</v>
      </c>
      <c r="K8" s="47">
        <f t="shared" si="2"/>
        <v>400</v>
      </c>
      <c r="L8" s="47">
        <f t="shared" si="0"/>
        <v>0</v>
      </c>
      <c r="M8" s="47">
        <f t="shared" si="3"/>
        <v>0</v>
      </c>
      <c r="N8" s="41">
        <f t="shared" si="4"/>
        <v>400</v>
      </c>
    </row>
    <row r="9" spans="1:14" ht="24" customHeight="1" x14ac:dyDescent="0.2">
      <c r="A9" s="48">
        <v>7</v>
      </c>
      <c r="B9" s="49" t="s">
        <v>33</v>
      </c>
      <c r="C9" s="47">
        <v>2</v>
      </c>
      <c r="D9" s="47">
        <v>2</v>
      </c>
      <c r="E9" s="47">
        <v>200</v>
      </c>
      <c r="F9" s="47">
        <v>121</v>
      </c>
      <c r="G9" s="50">
        <v>13</v>
      </c>
      <c r="H9" s="50">
        <v>0</v>
      </c>
      <c r="I9" s="47">
        <v>650</v>
      </c>
      <c r="J9" s="47">
        <f t="shared" si="1"/>
        <v>4</v>
      </c>
      <c r="K9" s="47">
        <f t="shared" si="2"/>
        <v>200</v>
      </c>
      <c r="L9" s="47">
        <f t="shared" si="0"/>
        <v>13</v>
      </c>
      <c r="M9" s="47">
        <f t="shared" si="3"/>
        <v>650</v>
      </c>
      <c r="N9" s="41">
        <f t="shared" si="4"/>
        <v>850</v>
      </c>
    </row>
    <row r="10" spans="1:14" ht="24" customHeight="1" x14ac:dyDescent="0.2">
      <c r="A10" s="48">
        <v>8</v>
      </c>
      <c r="B10" s="49" t="s">
        <v>68</v>
      </c>
      <c r="C10" s="50">
        <v>4</v>
      </c>
      <c r="D10" s="47">
        <v>1</v>
      </c>
      <c r="E10" s="47">
        <v>5746</v>
      </c>
      <c r="F10" s="50">
        <v>3697</v>
      </c>
      <c r="G10" s="50">
        <v>0</v>
      </c>
      <c r="H10" s="47"/>
      <c r="I10" s="47">
        <v>0</v>
      </c>
      <c r="J10" s="47">
        <f t="shared" si="1"/>
        <v>5</v>
      </c>
      <c r="K10" s="47">
        <f t="shared" si="2"/>
        <v>5746</v>
      </c>
      <c r="L10" s="47">
        <f t="shared" si="0"/>
        <v>0</v>
      </c>
      <c r="M10" s="47">
        <v>0</v>
      </c>
      <c r="N10" s="41">
        <f t="shared" si="4"/>
        <v>5746</v>
      </c>
    </row>
    <row r="11" spans="1:14" ht="24" customHeight="1" x14ac:dyDescent="0.2">
      <c r="A11" s="48">
        <v>9</v>
      </c>
      <c r="B11" s="49" t="s">
        <v>69</v>
      </c>
      <c r="C11" s="47">
        <v>0</v>
      </c>
      <c r="D11" s="47">
        <v>0</v>
      </c>
      <c r="E11" s="47">
        <v>0</v>
      </c>
      <c r="F11" s="47">
        <v>0</v>
      </c>
      <c r="G11" s="47">
        <v>1</v>
      </c>
      <c r="H11" s="47">
        <v>0</v>
      </c>
      <c r="I11" s="47">
        <v>200</v>
      </c>
      <c r="J11" s="47">
        <f t="shared" si="1"/>
        <v>0</v>
      </c>
      <c r="K11" s="47">
        <f t="shared" si="2"/>
        <v>0</v>
      </c>
      <c r="L11" s="47">
        <f t="shared" si="0"/>
        <v>1</v>
      </c>
      <c r="M11" s="47">
        <f t="shared" si="3"/>
        <v>200</v>
      </c>
      <c r="N11" s="41">
        <f t="shared" si="4"/>
        <v>200</v>
      </c>
    </row>
    <row r="12" spans="1:14" ht="24" customHeight="1" x14ac:dyDescent="0.2">
      <c r="A12" s="48">
        <v>10</v>
      </c>
      <c r="B12" s="49" t="s">
        <v>70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 t="shared" si="1"/>
        <v>0</v>
      </c>
      <c r="K12" s="47">
        <f t="shared" si="2"/>
        <v>0</v>
      </c>
      <c r="L12" s="47">
        <f t="shared" si="0"/>
        <v>0</v>
      </c>
      <c r="M12" s="47">
        <f t="shared" si="3"/>
        <v>0</v>
      </c>
      <c r="N12" s="41">
        <f t="shared" si="4"/>
        <v>0</v>
      </c>
    </row>
    <row r="13" spans="1:14" ht="24" customHeight="1" x14ac:dyDescent="0.2">
      <c r="A13" s="48">
        <v>11</v>
      </c>
      <c r="B13" s="49" t="s">
        <v>36</v>
      </c>
      <c r="C13" s="50">
        <v>35</v>
      </c>
      <c r="D13" s="50">
        <v>1</v>
      </c>
      <c r="E13" s="50">
        <v>1410</v>
      </c>
      <c r="F13" s="50">
        <v>2430</v>
      </c>
      <c r="G13" s="50">
        <v>2</v>
      </c>
      <c r="H13" s="47">
        <v>0</v>
      </c>
      <c r="I13" s="50">
        <v>100</v>
      </c>
      <c r="J13" s="47">
        <f t="shared" si="1"/>
        <v>36</v>
      </c>
      <c r="K13" s="47">
        <f t="shared" si="2"/>
        <v>1410</v>
      </c>
      <c r="L13" s="47">
        <f t="shared" si="0"/>
        <v>2</v>
      </c>
      <c r="M13" s="47">
        <f t="shared" si="3"/>
        <v>100</v>
      </c>
      <c r="N13" s="41">
        <f t="shared" si="4"/>
        <v>1510</v>
      </c>
    </row>
    <row r="14" spans="1:14" ht="24" customHeight="1" x14ac:dyDescent="0.2">
      <c r="A14" s="48">
        <v>12</v>
      </c>
      <c r="B14" s="49" t="s">
        <v>38</v>
      </c>
      <c r="C14" s="47">
        <v>2</v>
      </c>
      <c r="D14" s="47">
        <v>0</v>
      </c>
      <c r="E14" s="47">
        <v>100</v>
      </c>
      <c r="F14" s="47">
        <v>120</v>
      </c>
      <c r="G14" s="47">
        <v>1</v>
      </c>
      <c r="H14" s="47">
        <v>0</v>
      </c>
      <c r="I14" s="47">
        <v>50</v>
      </c>
      <c r="J14" s="47">
        <f t="shared" si="1"/>
        <v>2</v>
      </c>
      <c r="K14" s="47">
        <f t="shared" si="2"/>
        <v>100</v>
      </c>
      <c r="L14" s="47">
        <f t="shared" si="0"/>
        <v>1</v>
      </c>
      <c r="M14" s="47">
        <f t="shared" si="3"/>
        <v>50</v>
      </c>
      <c r="N14" s="41">
        <f t="shared" si="4"/>
        <v>150</v>
      </c>
    </row>
    <row r="15" spans="1:14" ht="24" customHeight="1" x14ac:dyDescent="0.2">
      <c r="A15" s="48">
        <v>13</v>
      </c>
      <c r="B15" s="49" t="s">
        <v>39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f t="shared" si="1"/>
        <v>0</v>
      </c>
      <c r="K15" s="47">
        <f t="shared" si="2"/>
        <v>0</v>
      </c>
      <c r="L15" s="47">
        <f t="shared" si="0"/>
        <v>0</v>
      </c>
      <c r="M15" s="47">
        <f t="shared" si="3"/>
        <v>0</v>
      </c>
      <c r="N15" s="41">
        <f t="shared" si="4"/>
        <v>0</v>
      </c>
    </row>
    <row r="16" spans="1:14" ht="24" customHeight="1" x14ac:dyDescent="0.2">
      <c r="A16" s="48">
        <v>14</v>
      </c>
      <c r="B16" s="49" t="s">
        <v>40</v>
      </c>
      <c r="C16" s="50">
        <v>3</v>
      </c>
      <c r="D16" s="50">
        <v>1</v>
      </c>
      <c r="E16" s="50">
        <v>1100</v>
      </c>
      <c r="F16" s="50">
        <v>1385</v>
      </c>
      <c r="G16" s="50">
        <v>2</v>
      </c>
      <c r="H16" s="47">
        <v>0</v>
      </c>
      <c r="I16" s="50">
        <v>150</v>
      </c>
      <c r="J16" s="47">
        <f t="shared" si="1"/>
        <v>4</v>
      </c>
      <c r="K16" s="47">
        <f t="shared" si="2"/>
        <v>1100</v>
      </c>
      <c r="L16" s="47">
        <f t="shared" si="0"/>
        <v>2</v>
      </c>
      <c r="M16" s="47">
        <f t="shared" si="3"/>
        <v>150</v>
      </c>
      <c r="N16" s="41">
        <f t="shared" si="4"/>
        <v>1250</v>
      </c>
    </row>
    <row r="17" spans="1:14" ht="24" customHeight="1" x14ac:dyDescent="0.2">
      <c r="A17" s="48">
        <v>15</v>
      </c>
      <c r="B17" s="49" t="s">
        <v>41</v>
      </c>
      <c r="C17" s="47">
        <v>0</v>
      </c>
      <c r="D17" s="47">
        <v>1</v>
      </c>
      <c r="E17" s="47">
        <v>200</v>
      </c>
      <c r="F17" s="47">
        <v>30</v>
      </c>
      <c r="G17" s="47">
        <v>2</v>
      </c>
      <c r="H17" s="47">
        <v>0</v>
      </c>
      <c r="I17" s="47">
        <v>200</v>
      </c>
      <c r="J17" s="47">
        <f t="shared" si="1"/>
        <v>1</v>
      </c>
      <c r="K17" s="47">
        <f t="shared" si="2"/>
        <v>200</v>
      </c>
      <c r="L17" s="47">
        <f t="shared" si="0"/>
        <v>2</v>
      </c>
      <c r="M17" s="47">
        <f t="shared" si="3"/>
        <v>200</v>
      </c>
      <c r="N17" s="41">
        <f t="shared" si="4"/>
        <v>400</v>
      </c>
    </row>
    <row r="18" spans="1:14" ht="24" customHeight="1" x14ac:dyDescent="0.2">
      <c r="A18" s="48">
        <v>16</v>
      </c>
      <c r="B18" s="49" t="s">
        <v>71</v>
      </c>
      <c r="C18" s="47">
        <v>0</v>
      </c>
      <c r="D18" s="47">
        <v>0</v>
      </c>
      <c r="E18" s="47">
        <v>0</v>
      </c>
      <c r="F18" s="47">
        <v>0</v>
      </c>
      <c r="G18" s="50">
        <v>1</v>
      </c>
      <c r="H18" s="47">
        <v>0</v>
      </c>
      <c r="I18" s="47">
        <v>50</v>
      </c>
      <c r="J18" s="47">
        <f t="shared" si="1"/>
        <v>0</v>
      </c>
      <c r="K18" s="47">
        <f t="shared" si="2"/>
        <v>0</v>
      </c>
      <c r="L18" s="47">
        <f t="shared" si="0"/>
        <v>1</v>
      </c>
      <c r="M18" s="47">
        <f t="shared" si="3"/>
        <v>50</v>
      </c>
      <c r="N18" s="41">
        <f t="shared" si="4"/>
        <v>50</v>
      </c>
    </row>
    <row r="19" spans="1:14" ht="24" customHeight="1" x14ac:dyDescent="0.2">
      <c r="A19" s="48">
        <v>17</v>
      </c>
      <c r="B19" s="49" t="s">
        <v>43</v>
      </c>
      <c r="C19" s="47">
        <v>2</v>
      </c>
      <c r="D19" s="47">
        <v>0</v>
      </c>
      <c r="E19" s="47">
        <v>100</v>
      </c>
      <c r="F19" s="47">
        <v>102</v>
      </c>
      <c r="G19" s="50">
        <v>0</v>
      </c>
      <c r="H19" s="47">
        <v>0</v>
      </c>
      <c r="I19" s="47">
        <v>0</v>
      </c>
      <c r="J19" s="47">
        <f t="shared" si="1"/>
        <v>2</v>
      </c>
      <c r="K19" s="47">
        <f t="shared" si="2"/>
        <v>100</v>
      </c>
      <c r="L19" s="47">
        <f t="shared" si="0"/>
        <v>0</v>
      </c>
      <c r="M19" s="47">
        <f t="shared" si="3"/>
        <v>0</v>
      </c>
      <c r="N19" s="41">
        <f t="shared" si="4"/>
        <v>100</v>
      </c>
    </row>
    <row r="20" spans="1:14" ht="24" customHeight="1" x14ac:dyDescent="0.2">
      <c r="A20" s="48">
        <v>18</v>
      </c>
      <c r="B20" s="49" t="s">
        <v>44</v>
      </c>
      <c r="C20" s="47">
        <v>0</v>
      </c>
      <c r="D20" s="47">
        <v>0</v>
      </c>
      <c r="E20" s="47">
        <v>0</v>
      </c>
      <c r="F20" s="47">
        <v>0</v>
      </c>
      <c r="G20" s="50">
        <v>0</v>
      </c>
      <c r="H20" s="47">
        <v>0</v>
      </c>
      <c r="I20" s="47">
        <v>0</v>
      </c>
      <c r="J20" s="47">
        <f t="shared" si="1"/>
        <v>0</v>
      </c>
      <c r="K20" s="47">
        <f t="shared" si="2"/>
        <v>0</v>
      </c>
      <c r="L20" s="47">
        <f t="shared" si="0"/>
        <v>0</v>
      </c>
      <c r="M20" s="47">
        <f t="shared" si="3"/>
        <v>0</v>
      </c>
      <c r="N20" s="41">
        <f t="shared" si="4"/>
        <v>0</v>
      </c>
    </row>
    <row r="21" spans="1:14" ht="24" customHeight="1" x14ac:dyDescent="0.2">
      <c r="A21" s="48">
        <v>19</v>
      </c>
      <c r="B21" s="49" t="s">
        <v>45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 t="shared" si="1"/>
        <v>0</v>
      </c>
      <c r="K21" s="47">
        <f t="shared" si="2"/>
        <v>0</v>
      </c>
      <c r="L21" s="47">
        <f t="shared" si="0"/>
        <v>0</v>
      </c>
      <c r="M21" s="47">
        <f t="shared" si="3"/>
        <v>0</v>
      </c>
      <c r="N21" s="41">
        <f t="shared" si="4"/>
        <v>0</v>
      </c>
    </row>
    <row r="22" spans="1:14" ht="24" customHeight="1" x14ac:dyDescent="0.2">
      <c r="A22" s="48">
        <v>20</v>
      </c>
      <c r="B22" s="49" t="s">
        <v>46</v>
      </c>
      <c r="C22" s="50">
        <v>1</v>
      </c>
      <c r="D22" s="50">
        <v>1</v>
      </c>
      <c r="E22" s="50">
        <v>130</v>
      </c>
      <c r="F22" s="50">
        <v>46</v>
      </c>
      <c r="G22" s="50">
        <v>1</v>
      </c>
      <c r="H22" s="50">
        <v>0</v>
      </c>
      <c r="I22" s="50">
        <v>80</v>
      </c>
      <c r="J22" s="47">
        <f t="shared" si="1"/>
        <v>2</v>
      </c>
      <c r="K22" s="47">
        <f t="shared" si="2"/>
        <v>130</v>
      </c>
      <c r="L22" s="47">
        <f t="shared" si="0"/>
        <v>1</v>
      </c>
      <c r="M22" s="47">
        <f t="shared" si="3"/>
        <v>80</v>
      </c>
      <c r="N22" s="41">
        <f t="shared" si="4"/>
        <v>210</v>
      </c>
    </row>
    <row r="23" spans="1:14" ht="24" customHeight="1" x14ac:dyDescent="0.2">
      <c r="A23" s="48">
        <v>21</v>
      </c>
      <c r="B23" s="49" t="s">
        <v>47</v>
      </c>
      <c r="C23" s="50">
        <v>1</v>
      </c>
      <c r="D23" s="47">
        <v>0</v>
      </c>
      <c r="E23" s="47">
        <v>30</v>
      </c>
      <c r="F23" s="50">
        <v>35</v>
      </c>
      <c r="G23" s="50">
        <v>1</v>
      </c>
      <c r="H23" s="47">
        <v>0</v>
      </c>
      <c r="I23" s="47">
        <v>50</v>
      </c>
      <c r="J23" s="47">
        <f t="shared" si="1"/>
        <v>1</v>
      </c>
      <c r="K23" s="47">
        <f t="shared" si="2"/>
        <v>30</v>
      </c>
      <c r="L23" s="47">
        <f t="shared" si="0"/>
        <v>1</v>
      </c>
      <c r="M23" s="47">
        <f t="shared" si="3"/>
        <v>50</v>
      </c>
      <c r="N23" s="41">
        <f t="shared" si="4"/>
        <v>80</v>
      </c>
    </row>
    <row r="24" spans="1:14" ht="24" customHeight="1" x14ac:dyDescent="0.2">
      <c r="A24" s="48">
        <v>22</v>
      </c>
      <c r="B24" s="49" t="s">
        <v>48</v>
      </c>
      <c r="C24" s="50">
        <v>0</v>
      </c>
      <c r="D24" s="47">
        <v>1</v>
      </c>
      <c r="E24" s="47">
        <v>100</v>
      </c>
      <c r="F24" s="50">
        <v>15</v>
      </c>
      <c r="G24" s="50">
        <v>0</v>
      </c>
      <c r="H24" s="47">
        <v>0</v>
      </c>
      <c r="I24" s="47">
        <v>0</v>
      </c>
      <c r="J24" s="47">
        <f t="shared" si="1"/>
        <v>1</v>
      </c>
      <c r="K24" s="47">
        <f t="shared" si="2"/>
        <v>100</v>
      </c>
      <c r="L24" s="47">
        <f t="shared" si="0"/>
        <v>0</v>
      </c>
      <c r="M24" s="47">
        <f t="shared" si="3"/>
        <v>0</v>
      </c>
      <c r="N24" s="41">
        <f t="shared" si="4"/>
        <v>100</v>
      </c>
    </row>
    <row r="25" spans="1:14" ht="24" customHeight="1" x14ac:dyDescent="0.2">
      <c r="A25" s="48">
        <v>23</v>
      </c>
      <c r="B25" s="49" t="s">
        <v>72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f t="shared" si="1"/>
        <v>0</v>
      </c>
      <c r="K25" s="47">
        <f t="shared" si="2"/>
        <v>0</v>
      </c>
      <c r="L25" s="47">
        <f t="shared" si="0"/>
        <v>0</v>
      </c>
      <c r="M25" s="47">
        <f t="shared" si="3"/>
        <v>0</v>
      </c>
      <c r="N25" s="41">
        <f t="shared" si="4"/>
        <v>0</v>
      </c>
    </row>
    <row r="26" spans="1:14" ht="24" customHeight="1" x14ac:dyDescent="0.2">
      <c r="A26" s="48">
        <v>24</v>
      </c>
      <c r="B26" s="49" t="s">
        <v>73</v>
      </c>
      <c r="C26" s="50">
        <v>3</v>
      </c>
      <c r="D26" s="47">
        <v>0</v>
      </c>
      <c r="E26" s="47">
        <v>550</v>
      </c>
      <c r="F26" s="50">
        <v>446</v>
      </c>
      <c r="G26" s="50">
        <v>9</v>
      </c>
      <c r="H26" s="47">
        <v>1</v>
      </c>
      <c r="I26" s="47">
        <v>500</v>
      </c>
      <c r="J26" s="47">
        <f t="shared" si="1"/>
        <v>3</v>
      </c>
      <c r="K26" s="47">
        <f t="shared" si="2"/>
        <v>550</v>
      </c>
      <c r="L26" s="47">
        <f t="shared" si="0"/>
        <v>10</v>
      </c>
      <c r="M26" s="47">
        <f t="shared" si="3"/>
        <v>500</v>
      </c>
      <c r="N26" s="41">
        <f t="shared" si="4"/>
        <v>1050</v>
      </c>
    </row>
    <row r="27" spans="1:14" ht="24" customHeight="1" x14ac:dyDescent="0.2">
      <c r="A27" s="48">
        <v>25</v>
      </c>
      <c r="B27" s="49" t="s">
        <v>74</v>
      </c>
      <c r="C27" s="50">
        <v>1</v>
      </c>
      <c r="D27" s="47">
        <v>0</v>
      </c>
      <c r="E27" s="47">
        <v>50</v>
      </c>
      <c r="F27" s="50">
        <v>44</v>
      </c>
      <c r="G27" s="50">
        <v>1</v>
      </c>
      <c r="H27" s="47">
        <v>0</v>
      </c>
      <c r="I27" s="47">
        <v>50</v>
      </c>
      <c r="J27" s="47">
        <f t="shared" si="1"/>
        <v>1</v>
      </c>
      <c r="K27" s="47">
        <f t="shared" si="2"/>
        <v>50</v>
      </c>
      <c r="L27" s="47">
        <f t="shared" si="0"/>
        <v>1</v>
      </c>
      <c r="M27" s="47">
        <f t="shared" si="3"/>
        <v>50</v>
      </c>
      <c r="N27" s="41">
        <f t="shared" si="4"/>
        <v>100</v>
      </c>
    </row>
    <row r="28" spans="1:14" ht="24" customHeight="1" x14ac:dyDescent="0.2">
      <c r="A28" s="48">
        <v>26</v>
      </c>
      <c r="B28" s="49" t="s">
        <v>75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f t="shared" si="1"/>
        <v>0</v>
      </c>
      <c r="K28" s="47">
        <f t="shared" si="2"/>
        <v>0</v>
      </c>
      <c r="L28" s="47">
        <f t="shared" si="0"/>
        <v>0</v>
      </c>
      <c r="M28" s="47">
        <f t="shared" si="3"/>
        <v>0</v>
      </c>
      <c r="N28" s="41">
        <f t="shared" si="4"/>
        <v>0</v>
      </c>
    </row>
    <row r="29" spans="1:14" ht="24" customHeight="1" thickBot="1" x14ac:dyDescent="0.25">
      <c r="A29" s="45">
        <v>27</v>
      </c>
      <c r="B29" s="51" t="s">
        <v>53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f t="shared" si="1"/>
        <v>0</v>
      </c>
      <c r="K29" s="47">
        <f t="shared" si="2"/>
        <v>0</v>
      </c>
      <c r="L29" s="47">
        <f t="shared" si="0"/>
        <v>0</v>
      </c>
      <c r="M29" s="47">
        <f t="shared" si="3"/>
        <v>0</v>
      </c>
      <c r="N29" s="41">
        <f t="shared" si="4"/>
        <v>0</v>
      </c>
    </row>
    <row r="30" spans="1:14" ht="27.75" customHeight="1" thickBot="1" x14ac:dyDescent="0.25">
      <c r="A30" s="158" t="s">
        <v>115</v>
      </c>
      <c r="B30" s="158"/>
      <c r="C30" s="52">
        <f>SUM(C3:C29)</f>
        <v>81</v>
      </c>
      <c r="D30" s="52">
        <f t="shared" ref="D30:I30" si="5">SUM(D3:D29)</f>
        <v>20</v>
      </c>
      <c r="E30" s="52">
        <f t="shared" si="5"/>
        <v>11726</v>
      </c>
      <c r="F30" s="52">
        <f t="shared" si="5"/>
        <v>9584</v>
      </c>
      <c r="G30" s="52">
        <f t="shared" si="5"/>
        <v>34</v>
      </c>
      <c r="H30" s="52">
        <f t="shared" si="5"/>
        <v>3</v>
      </c>
      <c r="I30" s="52">
        <f t="shared" si="5"/>
        <v>2180</v>
      </c>
      <c r="J30" s="47">
        <f t="shared" si="1"/>
        <v>101</v>
      </c>
      <c r="K30" s="47">
        <f t="shared" si="2"/>
        <v>11726</v>
      </c>
      <c r="L30" s="47">
        <f>SUM(L3:L29)</f>
        <v>37</v>
      </c>
      <c r="M30" s="47">
        <f>SUM(M3:M29)</f>
        <v>2180</v>
      </c>
      <c r="N30" s="41">
        <f t="shared" si="4"/>
        <v>13906</v>
      </c>
    </row>
    <row r="33" spans="2:5" x14ac:dyDescent="0.2">
      <c r="B33" s="53"/>
      <c r="C33" s="53"/>
      <c r="E33" s="54"/>
    </row>
    <row r="34" spans="2:5" x14ac:dyDescent="0.2">
      <c r="B34" s="53"/>
      <c r="C34" s="53"/>
      <c r="E34" s="54"/>
    </row>
    <row r="35" spans="2:5" x14ac:dyDescent="0.2">
      <c r="B35" s="53"/>
      <c r="C35" s="53"/>
      <c r="E35" s="54"/>
    </row>
    <row r="36" spans="2:5" x14ac:dyDescent="0.2">
      <c r="B36" s="53"/>
      <c r="C36" s="53"/>
    </row>
  </sheetData>
  <mergeCells count="2">
    <mergeCell ref="A1:I1"/>
    <mergeCell ref="A30:B30"/>
  </mergeCells>
  <pageMargins left="0.17" right="0.17" top="0.59" bottom="1" header="0.28000000000000003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rightToLeft="1" topLeftCell="A13" workbookViewId="0">
      <selection activeCell="A6" sqref="A6"/>
    </sheetView>
  </sheetViews>
  <sheetFormatPr defaultRowHeight="12.75" x14ac:dyDescent="0.2"/>
  <cols>
    <col min="1" max="1" width="9" style="24"/>
    <col min="2" max="2" width="12.125" style="24" customWidth="1"/>
    <col min="3" max="4" width="9" style="24"/>
    <col min="5" max="5" width="11.375" style="24" customWidth="1"/>
    <col min="6" max="6" width="11.875" style="24" customWidth="1"/>
    <col min="7" max="8" width="9" style="24"/>
    <col min="9" max="9" width="11.25" style="24" customWidth="1"/>
    <col min="10" max="257" width="9" style="24"/>
    <col min="258" max="258" width="9.25" style="24" customWidth="1"/>
    <col min="259" max="513" width="9" style="24"/>
    <col min="514" max="514" width="9.25" style="24" customWidth="1"/>
    <col min="515" max="769" width="9" style="24"/>
    <col min="770" max="770" width="9.25" style="24" customWidth="1"/>
    <col min="771" max="1025" width="9" style="24"/>
    <col min="1026" max="1026" width="9.25" style="24" customWidth="1"/>
    <col min="1027" max="1281" width="9" style="24"/>
    <col min="1282" max="1282" width="9.25" style="24" customWidth="1"/>
    <col min="1283" max="1537" width="9" style="24"/>
    <col min="1538" max="1538" width="9.25" style="24" customWidth="1"/>
    <col min="1539" max="1793" width="9" style="24"/>
    <col min="1794" max="1794" width="9.25" style="24" customWidth="1"/>
    <col min="1795" max="2049" width="9" style="24"/>
    <col min="2050" max="2050" width="9.25" style="24" customWidth="1"/>
    <col min="2051" max="2305" width="9" style="24"/>
    <col min="2306" max="2306" width="9.25" style="24" customWidth="1"/>
    <col min="2307" max="2561" width="9" style="24"/>
    <col min="2562" max="2562" width="9.25" style="24" customWidth="1"/>
    <col min="2563" max="2817" width="9" style="24"/>
    <col min="2818" max="2818" width="9.25" style="24" customWidth="1"/>
    <col min="2819" max="3073" width="9" style="24"/>
    <col min="3074" max="3074" width="9.25" style="24" customWidth="1"/>
    <col min="3075" max="3329" width="9" style="24"/>
    <col min="3330" max="3330" width="9.25" style="24" customWidth="1"/>
    <col min="3331" max="3585" width="9" style="24"/>
    <col min="3586" max="3586" width="9.25" style="24" customWidth="1"/>
    <col min="3587" max="3841" width="9" style="24"/>
    <col min="3842" max="3842" width="9.25" style="24" customWidth="1"/>
    <col min="3843" max="4097" width="9" style="24"/>
    <col min="4098" max="4098" width="9.25" style="24" customWidth="1"/>
    <col min="4099" max="4353" width="9" style="24"/>
    <col min="4354" max="4354" width="9.25" style="24" customWidth="1"/>
    <col min="4355" max="4609" width="9" style="24"/>
    <col min="4610" max="4610" width="9.25" style="24" customWidth="1"/>
    <col min="4611" max="4865" width="9" style="24"/>
    <col min="4866" max="4866" width="9.25" style="24" customWidth="1"/>
    <col min="4867" max="5121" width="9" style="24"/>
    <col min="5122" max="5122" width="9.25" style="24" customWidth="1"/>
    <col min="5123" max="5377" width="9" style="24"/>
    <col min="5378" max="5378" width="9.25" style="24" customWidth="1"/>
    <col min="5379" max="5633" width="9" style="24"/>
    <col min="5634" max="5634" width="9.25" style="24" customWidth="1"/>
    <col min="5635" max="5889" width="9" style="24"/>
    <col min="5890" max="5890" width="9.25" style="24" customWidth="1"/>
    <col min="5891" max="6145" width="9" style="24"/>
    <col min="6146" max="6146" width="9.25" style="24" customWidth="1"/>
    <col min="6147" max="6401" width="9" style="24"/>
    <col min="6402" max="6402" width="9.25" style="24" customWidth="1"/>
    <col min="6403" max="6657" width="9" style="24"/>
    <col min="6658" max="6658" width="9.25" style="24" customWidth="1"/>
    <col min="6659" max="6913" width="9" style="24"/>
    <col min="6914" max="6914" width="9.25" style="24" customWidth="1"/>
    <col min="6915" max="7169" width="9" style="24"/>
    <col min="7170" max="7170" width="9.25" style="24" customWidth="1"/>
    <col min="7171" max="7425" width="9" style="24"/>
    <col min="7426" max="7426" width="9.25" style="24" customWidth="1"/>
    <col min="7427" max="7681" width="9" style="24"/>
    <col min="7682" max="7682" width="9.25" style="24" customWidth="1"/>
    <col min="7683" max="7937" width="9" style="24"/>
    <col min="7938" max="7938" width="9.25" style="24" customWidth="1"/>
    <col min="7939" max="8193" width="9" style="24"/>
    <col min="8194" max="8194" width="9.25" style="24" customWidth="1"/>
    <col min="8195" max="8449" width="9" style="24"/>
    <col min="8450" max="8450" width="9.25" style="24" customWidth="1"/>
    <col min="8451" max="8705" width="9" style="24"/>
    <col min="8706" max="8706" width="9.25" style="24" customWidth="1"/>
    <col min="8707" max="8961" width="9" style="24"/>
    <col min="8962" max="8962" width="9.25" style="24" customWidth="1"/>
    <col min="8963" max="9217" width="9" style="24"/>
    <col min="9218" max="9218" width="9.25" style="24" customWidth="1"/>
    <col min="9219" max="9473" width="9" style="24"/>
    <col min="9474" max="9474" width="9.25" style="24" customWidth="1"/>
    <col min="9475" max="9729" width="9" style="24"/>
    <col min="9730" max="9730" width="9.25" style="24" customWidth="1"/>
    <col min="9731" max="9985" width="9" style="24"/>
    <col min="9986" max="9986" width="9.25" style="24" customWidth="1"/>
    <col min="9987" max="10241" width="9" style="24"/>
    <col min="10242" max="10242" width="9.25" style="24" customWidth="1"/>
    <col min="10243" max="10497" width="9" style="24"/>
    <col min="10498" max="10498" width="9.25" style="24" customWidth="1"/>
    <col min="10499" max="10753" width="9" style="24"/>
    <col min="10754" max="10754" width="9.25" style="24" customWidth="1"/>
    <col min="10755" max="11009" width="9" style="24"/>
    <col min="11010" max="11010" width="9.25" style="24" customWidth="1"/>
    <col min="11011" max="11265" width="9" style="24"/>
    <col min="11266" max="11266" width="9.25" style="24" customWidth="1"/>
    <col min="11267" max="11521" width="9" style="24"/>
    <col min="11522" max="11522" width="9.25" style="24" customWidth="1"/>
    <col min="11523" max="11777" width="9" style="24"/>
    <col min="11778" max="11778" width="9.25" style="24" customWidth="1"/>
    <col min="11779" max="12033" width="9" style="24"/>
    <col min="12034" max="12034" width="9.25" style="24" customWidth="1"/>
    <col min="12035" max="12289" width="9" style="24"/>
    <col min="12290" max="12290" width="9.25" style="24" customWidth="1"/>
    <col min="12291" max="12545" width="9" style="24"/>
    <col min="12546" max="12546" width="9.25" style="24" customWidth="1"/>
    <col min="12547" max="12801" width="9" style="24"/>
    <col min="12802" max="12802" width="9.25" style="24" customWidth="1"/>
    <col min="12803" max="13057" width="9" style="24"/>
    <col min="13058" max="13058" width="9.25" style="24" customWidth="1"/>
    <col min="13059" max="13313" width="9" style="24"/>
    <col min="13314" max="13314" width="9.25" style="24" customWidth="1"/>
    <col min="13315" max="13569" width="9" style="24"/>
    <col min="13570" max="13570" width="9.25" style="24" customWidth="1"/>
    <col min="13571" max="13825" width="9" style="24"/>
    <col min="13826" max="13826" width="9.25" style="24" customWidth="1"/>
    <col min="13827" max="14081" width="9" style="24"/>
    <col min="14082" max="14082" width="9.25" style="24" customWidth="1"/>
    <col min="14083" max="14337" width="9" style="24"/>
    <col min="14338" max="14338" width="9.25" style="24" customWidth="1"/>
    <col min="14339" max="14593" width="9" style="24"/>
    <col min="14594" max="14594" width="9.25" style="24" customWidth="1"/>
    <col min="14595" max="14849" width="9" style="24"/>
    <col min="14850" max="14850" width="9.25" style="24" customWidth="1"/>
    <col min="14851" max="15105" width="9" style="24"/>
    <col min="15106" max="15106" width="9.25" style="24" customWidth="1"/>
    <col min="15107" max="15361" width="9" style="24"/>
    <col min="15362" max="15362" width="9.25" style="24" customWidth="1"/>
    <col min="15363" max="15617" width="9" style="24"/>
    <col min="15618" max="15618" width="9.25" style="24" customWidth="1"/>
    <col min="15619" max="15873" width="9" style="24"/>
    <col min="15874" max="15874" width="9.25" style="24" customWidth="1"/>
    <col min="15875" max="16129" width="9" style="24"/>
    <col min="16130" max="16130" width="9.25" style="24" customWidth="1"/>
    <col min="16131" max="16384" width="9" style="24"/>
  </cols>
  <sheetData>
    <row r="1" spans="1:9" ht="29.25" thickBot="1" x14ac:dyDescent="0.8">
      <c r="A1" s="159" t="s">
        <v>126</v>
      </c>
      <c r="B1" s="159"/>
      <c r="C1" s="159"/>
      <c r="D1" s="159"/>
      <c r="E1" s="159"/>
      <c r="F1" s="159"/>
      <c r="G1" s="159"/>
      <c r="H1" s="159"/>
      <c r="I1" s="159"/>
    </row>
    <row r="2" spans="1:9" ht="30.75" thickBot="1" x14ac:dyDescent="0.25">
      <c r="A2" s="55" t="s">
        <v>15</v>
      </c>
      <c r="B2" s="55" t="s">
        <v>1</v>
      </c>
      <c r="C2" s="55" t="s">
        <v>111</v>
      </c>
      <c r="D2" s="55" t="s">
        <v>118</v>
      </c>
      <c r="E2" s="56" t="s">
        <v>119</v>
      </c>
      <c r="F2" s="56" t="s">
        <v>120</v>
      </c>
      <c r="G2" s="55" t="s">
        <v>121</v>
      </c>
      <c r="H2" s="55" t="s">
        <v>122</v>
      </c>
      <c r="I2" s="56" t="s">
        <v>123</v>
      </c>
    </row>
    <row r="3" spans="1:9" ht="21" x14ac:dyDescent="0.2">
      <c r="A3" s="57">
        <v>1</v>
      </c>
      <c r="B3" s="58" t="s">
        <v>27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f>SUM(G3+H3)</f>
        <v>0</v>
      </c>
    </row>
    <row r="4" spans="1:9" ht="21" x14ac:dyDescent="0.2">
      <c r="A4" s="60">
        <v>2</v>
      </c>
      <c r="B4" s="58" t="s">
        <v>65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</row>
    <row r="5" spans="1:9" ht="21" x14ac:dyDescent="0.2">
      <c r="A5" s="60">
        <v>3</v>
      </c>
      <c r="B5" s="61" t="s">
        <v>66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</row>
    <row r="6" spans="1:9" ht="21" x14ac:dyDescent="0.2">
      <c r="A6" s="60">
        <v>4</v>
      </c>
      <c r="B6" s="61" t="s">
        <v>30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</row>
    <row r="7" spans="1:9" ht="21" x14ac:dyDescent="0.2">
      <c r="A7" s="60">
        <v>5</v>
      </c>
      <c r="B7" s="61" t="s">
        <v>67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</row>
    <row r="8" spans="1:9" ht="21" x14ac:dyDescent="0.2">
      <c r="A8" s="60">
        <v>6</v>
      </c>
      <c r="B8" s="61" t="s">
        <v>32</v>
      </c>
      <c r="C8" s="59">
        <v>0</v>
      </c>
      <c r="D8" s="59">
        <v>0</v>
      </c>
      <c r="E8" s="59">
        <v>0</v>
      </c>
      <c r="F8" s="59">
        <v>0</v>
      </c>
      <c r="G8" s="59">
        <v>1</v>
      </c>
      <c r="H8" s="59"/>
      <c r="I8" s="59">
        <v>60</v>
      </c>
    </row>
    <row r="9" spans="1:9" ht="21" x14ac:dyDescent="0.2">
      <c r="A9" s="60">
        <v>7</v>
      </c>
      <c r="B9" s="61" t="s">
        <v>33</v>
      </c>
      <c r="C9" s="59">
        <v>1</v>
      </c>
      <c r="D9" s="59">
        <v>0</v>
      </c>
      <c r="E9" s="59">
        <v>50</v>
      </c>
      <c r="F9" s="59">
        <v>20</v>
      </c>
      <c r="G9" s="59">
        <v>0</v>
      </c>
      <c r="H9" s="59">
        <v>0</v>
      </c>
      <c r="I9" s="59">
        <v>0</v>
      </c>
    </row>
    <row r="10" spans="1:9" ht="21" x14ac:dyDescent="0.2">
      <c r="A10" s="60">
        <v>8</v>
      </c>
      <c r="B10" s="61" t="s">
        <v>68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</row>
    <row r="11" spans="1:9" ht="21" x14ac:dyDescent="0.2">
      <c r="A11" s="60">
        <v>9</v>
      </c>
      <c r="B11" s="61" t="s">
        <v>69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spans="1:9" ht="21" x14ac:dyDescent="0.2">
      <c r="A12" s="60">
        <v>10</v>
      </c>
      <c r="B12" s="61" t="s">
        <v>70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</row>
    <row r="13" spans="1:9" ht="21" x14ac:dyDescent="0.2">
      <c r="A13" s="60">
        <v>11</v>
      </c>
      <c r="B13" s="61" t="s">
        <v>36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</row>
    <row r="14" spans="1:9" ht="21" x14ac:dyDescent="0.2">
      <c r="A14" s="60">
        <v>12</v>
      </c>
      <c r="B14" s="61" t="s">
        <v>38</v>
      </c>
      <c r="C14" s="59">
        <v>1</v>
      </c>
      <c r="D14" s="59">
        <v>0</v>
      </c>
      <c r="E14" s="59">
        <v>100</v>
      </c>
      <c r="F14" s="59">
        <v>0</v>
      </c>
      <c r="G14" s="59">
        <v>0</v>
      </c>
      <c r="H14" s="59">
        <v>0</v>
      </c>
      <c r="I14" s="59">
        <v>0</v>
      </c>
    </row>
    <row r="15" spans="1:9" ht="21" x14ac:dyDescent="0.2">
      <c r="A15" s="60">
        <v>13</v>
      </c>
      <c r="B15" s="61" t="s">
        <v>39</v>
      </c>
      <c r="C15" s="59">
        <v>0</v>
      </c>
      <c r="D15" s="59">
        <v>1</v>
      </c>
      <c r="E15" s="59">
        <v>50</v>
      </c>
      <c r="F15" s="59">
        <v>10</v>
      </c>
      <c r="G15" s="59">
        <v>0</v>
      </c>
      <c r="H15" s="59">
        <v>0</v>
      </c>
      <c r="I15" s="59">
        <v>0</v>
      </c>
    </row>
    <row r="16" spans="1:9" ht="21" x14ac:dyDescent="0.2">
      <c r="A16" s="60">
        <v>14</v>
      </c>
      <c r="B16" s="61" t="s">
        <v>40</v>
      </c>
      <c r="C16" s="59">
        <v>3</v>
      </c>
      <c r="D16" s="59">
        <v>1</v>
      </c>
      <c r="E16" s="59">
        <v>350</v>
      </c>
      <c r="F16" s="59">
        <v>250</v>
      </c>
      <c r="G16" s="59">
        <v>1</v>
      </c>
      <c r="H16" s="59">
        <v>0</v>
      </c>
      <c r="I16" s="59">
        <v>100</v>
      </c>
    </row>
    <row r="17" spans="1:9" ht="21" x14ac:dyDescent="0.2">
      <c r="A17" s="60">
        <v>15</v>
      </c>
      <c r="B17" s="61" t="s">
        <v>41</v>
      </c>
      <c r="C17" s="59">
        <v>1</v>
      </c>
      <c r="D17" s="59">
        <v>0</v>
      </c>
      <c r="E17" s="59">
        <v>200</v>
      </c>
      <c r="F17" s="59">
        <v>50</v>
      </c>
      <c r="G17" s="59">
        <v>2</v>
      </c>
      <c r="H17" s="59">
        <v>2</v>
      </c>
      <c r="I17" s="59">
        <v>200</v>
      </c>
    </row>
    <row r="18" spans="1:9" ht="21" x14ac:dyDescent="0.2">
      <c r="A18" s="60">
        <v>16</v>
      </c>
      <c r="B18" s="61" t="s">
        <v>71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</row>
    <row r="19" spans="1:9" ht="21" x14ac:dyDescent="0.2">
      <c r="A19" s="60">
        <v>17</v>
      </c>
      <c r="B19" s="61" t="s">
        <v>43</v>
      </c>
      <c r="C19" s="59">
        <v>1</v>
      </c>
      <c r="D19" s="59">
        <v>0</v>
      </c>
      <c r="E19" s="59">
        <v>100</v>
      </c>
      <c r="F19" s="59">
        <v>40</v>
      </c>
      <c r="G19" s="59">
        <v>1</v>
      </c>
      <c r="H19" s="59">
        <v>0</v>
      </c>
      <c r="I19" s="59">
        <v>50</v>
      </c>
    </row>
    <row r="20" spans="1:9" ht="21" x14ac:dyDescent="0.2">
      <c r="A20" s="60">
        <v>18</v>
      </c>
      <c r="B20" s="61" t="s">
        <v>44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</row>
    <row r="21" spans="1:9" ht="21" x14ac:dyDescent="0.2">
      <c r="A21" s="60">
        <v>19</v>
      </c>
      <c r="B21" s="61" t="s">
        <v>45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ht="21" x14ac:dyDescent="0.2">
      <c r="A22" s="60">
        <v>20</v>
      </c>
      <c r="B22" s="61" t="s">
        <v>46</v>
      </c>
      <c r="C22" s="59">
        <v>0</v>
      </c>
      <c r="D22" s="59">
        <v>0</v>
      </c>
      <c r="E22" s="59">
        <v>0</v>
      </c>
      <c r="F22" s="59">
        <v>0</v>
      </c>
      <c r="G22" s="59">
        <v>1</v>
      </c>
      <c r="H22" s="59">
        <v>0</v>
      </c>
      <c r="I22" s="59">
        <v>100</v>
      </c>
    </row>
    <row r="23" spans="1:9" ht="21" x14ac:dyDescent="0.2">
      <c r="A23" s="60">
        <v>21</v>
      </c>
      <c r="B23" s="61" t="s">
        <v>47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</row>
    <row r="24" spans="1:9" ht="21" x14ac:dyDescent="0.2">
      <c r="A24" s="60">
        <v>22</v>
      </c>
      <c r="B24" s="61" t="s">
        <v>48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</row>
    <row r="25" spans="1:9" ht="21" x14ac:dyDescent="0.2">
      <c r="A25" s="60">
        <v>23</v>
      </c>
      <c r="B25" s="61" t="s">
        <v>72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</row>
    <row r="26" spans="1:9" ht="21" x14ac:dyDescent="0.2">
      <c r="A26" s="60">
        <v>24</v>
      </c>
      <c r="B26" s="61" t="s">
        <v>73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</row>
    <row r="27" spans="1:9" ht="21" x14ac:dyDescent="0.2">
      <c r="A27" s="60">
        <v>25</v>
      </c>
      <c r="B27" s="61" t="s">
        <v>74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</row>
    <row r="28" spans="1:9" ht="21" x14ac:dyDescent="0.2">
      <c r="A28" s="60">
        <v>26</v>
      </c>
      <c r="B28" s="61" t="s">
        <v>75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</row>
    <row r="29" spans="1:9" ht="21.75" thickBot="1" x14ac:dyDescent="0.25">
      <c r="A29" s="57">
        <v>27</v>
      </c>
      <c r="B29" s="62" t="s">
        <v>53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</row>
    <row r="30" spans="1:9" ht="29.25" thickBot="1" x14ac:dyDescent="0.25">
      <c r="A30" s="160" t="s">
        <v>115</v>
      </c>
      <c r="B30" s="160"/>
      <c r="C30" s="63">
        <f>SUM(C3:C29)</f>
        <v>7</v>
      </c>
      <c r="D30" s="63">
        <f t="shared" ref="D30:I30" si="0">SUM(D3:D29)</f>
        <v>2</v>
      </c>
      <c r="E30" s="63">
        <f t="shared" si="0"/>
        <v>850</v>
      </c>
      <c r="F30" s="63">
        <f t="shared" si="0"/>
        <v>370</v>
      </c>
      <c r="G30" s="63">
        <f t="shared" si="0"/>
        <v>6</v>
      </c>
      <c r="H30" s="63">
        <f t="shared" si="0"/>
        <v>2</v>
      </c>
      <c r="I30" s="63">
        <f t="shared" si="0"/>
        <v>510</v>
      </c>
    </row>
    <row r="34" spans="3:6" x14ac:dyDescent="0.2">
      <c r="C34" s="36" t="s">
        <v>127</v>
      </c>
      <c r="D34" s="36" t="s">
        <v>128</v>
      </c>
      <c r="E34" s="24">
        <v>0</v>
      </c>
      <c r="F34" s="37">
        <v>0</v>
      </c>
    </row>
    <row r="35" spans="3:6" x14ac:dyDescent="0.2">
      <c r="C35" s="36" t="s">
        <v>127</v>
      </c>
      <c r="D35" s="36" t="s">
        <v>129</v>
      </c>
      <c r="E35" s="24">
        <v>1</v>
      </c>
      <c r="F35" s="37">
        <v>100</v>
      </c>
    </row>
    <row r="36" spans="3:6" x14ac:dyDescent="0.2">
      <c r="C36" s="36" t="s">
        <v>127</v>
      </c>
      <c r="D36" s="36" t="s">
        <v>130</v>
      </c>
      <c r="E36" s="24">
        <v>3</v>
      </c>
      <c r="F36" s="37">
        <v>450</v>
      </c>
    </row>
    <row r="37" spans="3:6" x14ac:dyDescent="0.2">
      <c r="C37" s="36" t="s">
        <v>127</v>
      </c>
      <c r="D37" s="36" t="s">
        <v>131</v>
      </c>
      <c r="E37" s="24">
        <v>3</v>
      </c>
      <c r="F37" s="24">
        <v>830</v>
      </c>
    </row>
  </sheetData>
  <mergeCells count="2">
    <mergeCell ref="A1:I1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جدول تعداد واحدهای دامی و انواع</vt:lpstr>
      <vt:lpstr>تولید گوشت قرمز به تفکیک دام</vt:lpstr>
      <vt:lpstr>جدول تولیدشیر و... به تفکیک</vt:lpstr>
      <vt:lpstr>جدول تولید،مصرف و موازنه تولید</vt:lpstr>
      <vt:lpstr>Sheet1</vt:lpstr>
      <vt:lpstr>آمارتعداد و ظرفیت گوساله</vt:lpstr>
      <vt:lpstr>آمار تعداد و ظرفیت بره</vt:lpstr>
      <vt:lpstr>آمار گاو داری های صنعتی شیری</vt:lpstr>
      <vt:lpstr>گاومیش</vt:lpstr>
      <vt:lpstr>گوشت طیور وتخم مرغ 95</vt:lpstr>
      <vt:lpstr>'آمار تعداد و ظرفیت بره'!Print_Area</vt:lpstr>
      <vt:lpstr>'آمار گاو داری های صنعتی شیری'!Print_Area</vt:lpstr>
      <vt:lpstr>'آمارتعداد و ظرفیت گوساله'!Print_Area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janati</cp:lastModifiedBy>
  <cp:lastPrinted>2017-10-25T09:10:07Z</cp:lastPrinted>
  <dcterms:created xsi:type="dcterms:W3CDTF">2017-10-02T09:12:36Z</dcterms:created>
  <dcterms:modified xsi:type="dcterms:W3CDTF">2017-10-25T09:10:21Z</dcterms:modified>
</cp:coreProperties>
</file>